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35" windowHeight="4710" activeTab="0"/>
  </bookViews>
  <sheets>
    <sheet name="Konteringsliste" sheetId="1" r:id="rId1"/>
    <sheet name="Balanse og resultat" sheetId="2" r:id="rId2"/>
    <sheet name="Budsjett" sheetId="3" r:id="rId3"/>
    <sheet name="Kontobok" sheetId="4" r:id="rId4"/>
    <sheet name="Omsetningsoppgave" sheetId="5" r:id="rId5"/>
    <sheet name="Kontoplan" sheetId="6" r:id="rId6"/>
    <sheet name="konteringslisteskjema" sheetId="7" r:id="rId7"/>
    <sheet name="Utskrift" sheetId="8" r:id="rId8"/>
  </sheets>
  <definedNames>
    <definedName name="Balanselinje1">'Balanse og resultat'!$A$4</definedName>
    <definedName name="debet">'Konteringsliste'!$G$6:$G$138</definedName>
    <definedName name="imva">'Konteringsliste'!$K$6:$K$138</definedName>
    <definedName name="imvah">#REF!</definedName>
    <definedName name="imval">'Kontoplan'!$I$17</definedName>
    <definedName name="imvam">'Kontoplan'!$I$15</definedName>
    <definedName name="inv">'Konteringsliste'!$H$3</definedName>
    <definedName name="invavg">'Konteringsliste'!$L$6:$L$138</definedName>
    <definedName name="kontohjelp">'Kontoplan'!$E$5:$E$205</definedName>
    <definedName name="kontolinje1">'Kontoplan'!$A$5</definedName>
    <definedName name="kontonr">'Konteringsliste'!$D$6:$D$138</definedName>
    <definedName name="kontoplan">'Kontoplan'!$A$5:$C$205</definedName>
    <definedName name="kontotopp">'Kontoplan'!$A$3</definedName>
    <definedName name="kredit">'Konteringsliste'!$H$6:$H$138</definedName>
    <definedName name="mva">'Konteringsliste'!$E$3</definedName>
    <definedName name="mva1">'Kontoplan'!$J$11</definedName>
    <definedName name="mva2">'Kontoplan'!$I$12</definedName>
    <definedName name="mva3">'Kontoplan'!$I$13</definedName>
    <definedName name="mvakode">'Konteringsliste'!$F$6:$F$138</definedName>
    <definedName name="nettobeløp">'Konteringsliste'!$I$6:$I$138</definedName>
    <definedName name="plinje1">'Konteringsliste'!$A$6</definedName>
    <definedName name="tall">'Balanse og resultat'!$I$40:$I$55</definedName>
    <definedName name="tekst">'Konteringsliste'!$C$6:$C$138</definedName>
    <definedName name="umva">'Konteringsliste'!$J$6:$J$138</definedName>
    <definedName name="umvah">#REF!</definedName>
    <definedName name="umval">'Kontoplan'!$I$16</definedName>
    <definedName name="umvam">'Kontoplan'!$I$14</definedName>
    <definedName name="_xlnm.Print_Area" localSheetId="1">'Balanse og resultat'!$A$3:$E$39</definedName>
    <definedName name="_xlnm.Print_Area" localSheetId="2">'Budsjett'!$A$47:$E$70</definedName>
    <definedName name="_xlnm.Print_Area" localSheetId="0">'Konteringsliste'!$A$2:$L$138</definedName>
    <definedName name="_xlnm.Print_Area" localSheetId="6">'konteringslisteskjema'!$A$3:$K$33</definedName>
    <definedName name="_xlnm.Print_Area" localSheetId="3">'Kontobok'!$A$2:$G$16</definedName>
    <definedName name="_xlnm.Print_Area" localSheetId="5">'Kontoplan'!$T$4:$AB$65</definedName>
    <definedName name="_xlnm.Print_Area" localSheetId="4">'Omsetningsoppgave'!$A$2:$M$46</definedName>
    <definedName name="_xlnm.Print_Area" localSheetId="7">'Utskrift'!$O$57</definedName>
  </definedNames>
  <calcPr fullCalcOnLoad="1"/>
</workbook>
</file>

<file path=xl/comments1.xml><?xml version="1.0" encoding="utf-8"?>
<comments xmlns="http://schemas.openxmlformats.org/spreadsheetml/2006/main">
  <authors>
    <author>en forn?yd Microsoft Office-bruker</author>
  </authors>
  <commentList>
    <comment ref="C2" authorId="0">
      <text>
        <r>
          <rPr>
            <sz val="8"/>
            <rFont val="Tahoma"/>
            <family val="0"/>
          </rPr>
          <t xml:space="preserve">Skriv inn navn/eksami-nandkode og oppgave-nummer her for eksempel
Ola Nordmann, oppgave 7c)
</t>
        </r>
      </text>
    </comment>
    <comment ref="E2" authorId="0">
      <text>
        <r>
          <rPr>
            <sz val="8"/>
            <rFont val="Tahoma"/>
            <family val="0"/>
          </rPr>
          <t xml:space="preserve">Registrer firma her for eksempel Fagbygg AS
</t>
        </r>
      </text>
    </comment>
    <comment ref="C3" authorId="0">
      <text>
        <r>
          <rPr>
            <sz val="8"/>
            <rFont val="Tahoma"/>
            <family val="0"/>
          </rPr>
          <t xml:space="preserve">Registrer regnskaps-periode/år her for eksempel 
nov-des 1998
</t>
        </r>
      </text>
    </comment>
    <comment ref="E3" authorId="0">
      <text>
        <r>
          <rPr>
            <sz val="8"/>
            <rFont val="Tahoma"/>
            <family val="0"/>
          </rPr>
          <t xml:space="preserve">Her registrerer du satsen for merverdiavgift
</t>
        </r>
      </text>
    </comment>
    <comment ref="F4" authorId="0">
      <text>
        <r>
          <rPr>
            <sz val="8"/>
            <rFont val="Tahoma"/>
            <family val="0"/>
          </rPr>
          <t>1 = Inngående mva
2 = Utgående mva</t>
        </r>
      </text>
    </comment>
    <comment ref="A5" authorId="0">
      <text>
        <r>
          <rPr>
            <sz val="8"/>
            <rFont val="Tahoma"/>
            <family val="0"/>
          </rPr>
          <t xml:space="preserve">Her registrerer du bilagsdato, jf. RSKL § 2.1 pkt 1
</t>
        </r>
      </text>
    </comment>
    <comment ref="B5" authorId="0">
      <text>
        <r>
          <rPr>
            <sz val="8"/>
            <rFont val="Tahoma"/>
            <family val="0"/>
          </rPr>
          <t xml:space="preserve">Her registrerer du bilagsdato, jf. RSKL § 2.1 pkt 4
</t>
        </r>
      </text>
    </comment>
    <comment ref="D5" authorId="0">
      <text>
        <r>
          <rPr>
            <sz val="8"/>
            <rFont val="Tahoma"/>
            <family val="0"/>
          </rPr>
          <t>Her registrerer du bilagsdato, jf. RSKL § 2.1 pkt 3</t>
        </r>
      </text>
    </comment>
  </commentList>
</comments>
</file>

<file path=xl/comments6.xml><?xml version="1.0" encoding="utf-8"?>
<comments xmlns="http://schemas.openxmlformats.org/spreadsheetml/2006/main">
  <authors>
    <author>en forn?yd Microsoft Office-bruker</author>
  </authors>
  <commentList>
    <comment ref="A4" authorId="0">
      <text>
        <r>
          <rPr>
            <sz val="8"/>
            <rFont val="Tahoma"/>
            <family val="0"/>
          </rPr>
          <t>Bruk firesifrede konto-nummer. NB! I kontobok femsifrede (se tekst i kolonne F)</t>
        </r>
      </text>
    </comment>
    <comment ref="C4" authorId="0">
      <text>
        <r>
          <rPr>
            <sz val="8"/>
            <rFont val="Tahoma"/>
            <family val="0"/>
          </rPr>
          <t xml:space="preserve">1 = Inngående mva
2 = Utgående mva
</t>
        </r>
      </text>
    </comment>
  </commentList>
</comments>
</file>

<file path=xl/sharedStrings.xml><?xml version="1.0" encoding="utf-8"?>
<sst xmlns="http://schemas.openxmlformats.org/spreadsheetml/2006/main" count="268" uniqueCount="228">
  <si>
    <t>Navn/oppg.:</t>
  </si>
  <si>
    <t>Firma:</t>
  </si>
  <si>
    <t>Periode:</t>
  </si>
  <si>
    <t>Mva:</t>
  </si>
  <si>
    <t>Investeringsavgift:</t>
  </si>
  <si>
    <t>Bilag</t>
  </si>
  <si>
    <t>Mva-</t>
  </si>
  <si>
    <t>Bruttobeløp</t>
  </si>
  <si>
    <t>Netto-</t>
  </si>
  <si>
    <t>Virkning på</t>
  </si>
  <si>
    <t>Hjelpekolonner balanse</t>
  </si>
  <si>
    <t xml:space="preserve"> </t>
  </si>
  <si>
    <t>Hjelpekolonner resultat</t>
  </si>
  <si>
    <t>Kasse og bankkontroll</t>
  </si>
  <si>
    <t>Kontobok</t>
  </si>
  <si>
    <t>Hjelpekolonner avgiftsfritt salg</t>
  </si>
  <si>
    <t>Dato</t>
  </si>
  <si>
    <t>nr.</t>
  </si>
  <si>
    <t>Tekst</t>
  </si>
  <si>
    <t>Kontonr.</t>
  </si>
  <si>
    <t>Konto</t>
  </si>
  <si>
    <t>kode</t>
  </si>
  <si>
    <t>Debet</t>
  </si>
  <si>
    <t>Kredit</t>
  </si>
  <si>
    <t>beløp</t>
  </si>
  <si>
    <t>Inng. mva</t>
  </si>
  <si>
    <t>Utg. mva</t>
  </si>
  <si>
    <t>Invest. avg.</t>
  </si>
  <si>
    <t>resultat</t>
  </si>
  <si>
    <t>balanse</t>
  </si>
  <si>
    <t>Tomter, bygninger og annen fast eiendom</t>
  </si>
  <si>
    <t>Maskiner og anlegg</t>
  </si>
  <si>
    <t>Driftsløsøre, inventar, verktøy m.v</t>
  </si>
  <si>
    <t>Varer</t>
  </si>
  <si>
    <t>Kundefordringer</t>
  </si>
  <si>
    <t>Andre fordringer</t>
  </si>
  <si>
    <t>Bankinnskudd, kontanter o.l</t>
  </si>
  <si>
    <t>Sum egenkapital</t>
  </si>
  <si>
    <t>Sum langsiktig gjeld</t>
  </si>
  <si>
    <t>Gjeld til kredittinstitusjoner (kassekreditt m.v)</t>
  </si>
  <si>
    <t>Leverandørgjeld</t>
  </si>
  <si>
    <t>Betalbar skatt</t>
  </si>
  <si>
    <t>Skattetrekk og andre trekk</t>
  </si>
  <si>
    <t>Skyldige offentlige avgifter</t>
  </si>
  <si>
    <t>Utbytte</t>
  </si>
  <si>
    <t>Annen kortsiktig gjeld</t>
  </si>
  <si>
    <t>Salgsinntekt</t>
  </si>
  <si>
    <t>Annen driftsinntekt</t>
  </si>
  <si>
    <t>Varekostnad</t>
  </si>
  <si>
    <t>Endring i beholdning ViA og Fv</t>
  </si>
  <si>
    <t>Lønnskostnad</t>
  </si>
  <si>
    <t>Avskrivning</t>
  </si>
  <si>
    <t>Annen driftskostnad</t>
  </si>
  <si>
    <t>Annen rente- og finansinntekt</t>
  </si>
  <si>
    <t>Annen rente- og finanskostnad</t>
  </si>
  <si>
    <t>Skattekostnad på ordinært resultat</t>
  </si>
  <si>
    <t>Ekstraordinær inntekt</t>
  </si>
  <si>
    <t>Ekstraordinær kostnad</t>
  </si>
  <si>
    <t>Skattekostnad på ekstraordinært resultat</t>
  </si>
  <si>
    <t>Overført annen egenkapital</t>
  </si>
  <si>
    <t>Kasse</t>
  </si>
  <si>
    <t>Post</t>
  </si>
  <si>
    <t>Bank</t>
  </si>
  <si>
    <t>Kassekreditt</t>
  </si>
  <si>
    <t>Eiendeler</t>
  </si>
  <si>
    <t>Anleggsmidler:</t>
  </si>
  <si>
    <t>Sum driftsinntekter</t>
  </si>
  <si>
    <t>Sum anleggsmidler</t>
  </si>
  <si>
    <t>Omløpsmidler:</t>
  </si>
  <si>
    <t>Fordringer:</t>
  </si>
  <si>
    <t>Sum driftskostnader</t>
  </si>
  <si>
    <t>Driftsresultat</t>
  </si>
  <si>
    <t>Sum fordringer</t>
  </si>
  <si>
    <t>Ordinært resultat før skattekostnad</t>
  </si>
  <si>
    <t>Sum omløpsmidler</t>
  </si>
  <si>
    <t>Sum eiendeler</t>
  </si>
  <si>
    <t>Ordinært resultat</t>
  </si>
  <si>
    <t>Egenkapital og gjeld</t>
  </si>
  <si>
    <t>Egenkapital</t>
  </si>
  <si>
    <t>Årsresultat</t>
  </si>
  <si>
    <t>Langsiktig gjeld</t>
  </si>
  <si>
    <t>Overføringer:</t>
  </si>
  <si>
    <t>Kortsiktig gjeld:</t>
  </si>
  <si>
    <t>Sum overføringer</t>
  </si>
  <si>
    <t>Nøkkeltall:</t>
  </si>
  <si>
    <t>Totalkapitalrentabilitet</t>
  </si>
  <si>
    <t>Egenkapitalrentabilitet før skatt</t>
  </si>
  <si>
    <t>Likviditetsgrad 1</t>
  </si>
  <si>
    <t>Sum kortsiktig gjeld</t>
  </si>
  <si>
    <t>Likviditetsgrad 2</t>
  </si>
  <si>
    <t>Sum egenkapital og gjeld</t>
  </si>
  <si>
    <t>Egenkapitalprosent</t>
  </si>
  <si>
    <t>Arbeidskapital</t>
  </si>
  <si>
    <t>Langs. kap/(anleggsmidler + 1/2 varelager)</t>
  </si>
  <si>
    <t>Hjelpekolonne</t>
  </si>
  <si>
    <t>Klikk her for saldoer og nøkkeltall</t>
  </si>
  <si>
    <t>Budsjett</t>
  </si>
  <si>
    <t>Regnskap</t>
  </si>
  <si>
    <t>Avvik i kr</t>
  </si>
  <si>
    <t>Avvik i %</t>
  </si>
  <si>
    <t>Saldoliste kunder</t>
  </si>
  <si>
    <t>Saldoliste leverandører</t>
  </si>
  <si>
    <t>Kundenr</t>
  </si>
  <si>
    <t>Kunde</t>
  </si>
  <si>
    <t>Saldo</t>
  </si>
  <si>
    <t>Lev. nr</t>
  </si>
  <si>
    <t>Leverandør</t>
  </si>
  <si>
    <t>Sum</t>
  </si>
  <si>
    <t>Grunnlag</t>
  </si>
  <si>
    <t>Beregnet avgift</t>
  </si>
  <si>
    <t>+</t>
  </si>
  <si>
    <t>-</t>
  </si>
  <si>
    <t xml:space="preserve">Avgift å betale  </t>
  </si>
  <si>
    <t>Kontoplan</t>
  </si>
  <si>
    <t>Kontonummerserie kunder</t>
  </si>
  <si>
    <t>Kto.nr</t>
  </si>
  <si>
    <t>Mva</t>
  </si>
  <si>
    <t>Klikk her for å se kontoplanen</t>
  </si>
  <si>
    <t>Kontonummerserie leverandører</t>
  </si>
  <si>
    <t>Bygning</t>
  </si>
  <si>
    <t>Du kan velge om du vil bruke nummerserie 15000 eller</t>
  </si>
  <si>
    <t>30000 for kunder og 24000 eller 10000 for leverandører.</t>
  </si>
  <si>
    <t xml:space="preserve">Biler                    </t>
  </si>
  <si>
    <t>Velg ved å klikke i rullegardinlistene over.</t>
  </si>
  <si>
    <t>Inventar</t>
  </si>
  <si>
    <t>Du kan ha inntil 10 kunder og leverandører (….0 til ….9)</t>
  </si>
  <si>
    <t>Verktøy o.l</t>
  </si>
  <si>
    <t>Kontormaskiner</t>
  </si>
  <si>
    <t>Råvarer, innkj.halvfabr.</t>
  </si>
  <si>
    <t>Varer under tilvirkning</t>
  </si>
  <si>
    <t>Ferdige egentilv. varer</t>
  </si>
  <si>
    <t>Innkj. varer for videres.</t>
  </si>
  <si>
    <t>Forskuddsbetalt lønn</t>
  </si>
  <si>
    <t>Div. forsk.bet. driftsk..</t>
  </si>
  <si>
    <t xml:space="preserve">Kontanter                 </t>
  </si>
  <si>
    <t>Bankinnskudd</t>
  </si>
  <si>
    <t>Bankinnsk. for skattetr.</t>
  </si>
  <si>
    <t>Aksjekapital</t>
  </si>
  <si>
    <t>Annen egenkapital</t>
  </si>
  <si>
    <t>Privatkonto</t>
  </si>
  <si>
    <t>Pantelån</t>
  </si>
  <si>
    <t>Annen langsiktig gjeld</t>
  </si>
  <si>
    <t>Betalbar skatt, ikke utl.</t>
  </si>
  <si>
    <t>Forhåndsskatt</t>
  </si>
  <si>
    <t>Skattetrekk</t>
  </si>
  <si>
    <t>Utgående mva</t>
  </si>
  <si>
    <t>Inngående mva</t>
  </si>
  <si>
    <t>Oppgjørskonto mva</t>
  </si>
  <si>
    <t>Skyldig arb.gj.avgift</t>
  </si>
  <si>
    <t>Påløpt arbeidsgiveravg.</t>
  </si>
  <si>
    <t>Avsatt utbytte</t>
  </si>
  <si>
    <t>Lønn (skyldig lønn)</t>
  </si>
  <si>
    <t>Feriepenger (skyld. fp.)</t>
  </si>
  <si>
    <t>Div. skyldige driftsk..</t>
  </si>
  <si>
    <t>Salgsinntekt, avg. plikt.</t>
  </si>
  <si>
    <t>Salgsinntekt, avg. fri</t>
  </si>
  <si>
    <t>Andre leieinntekter</t>
  </si>
  <si>
    <t>Annen driftsrelatert innt.</t>
  </si>
  <si>
    <t>Innkjøp råvarer og halvf.</t>
  </si>
  <si>
    <t>Frakt, toll og spedisjon</t>
  </si>
  <si>
    <t>Beholdn. endr. råvarer</t>
  </si>
  <si>
    <t>Beh. endr. varer u. tilv.</t>
  </si>
  <si>
    <t>Beh. endr. ferdige varer</t>
  </si>
  <si>
    <t>Innkj. varer for vid. salg</t>
  </si>
  <si>
    <t>Beh. endr. varer v.salg</t>
  </si>
  <si>
    <t>Lønn till ansatte</t>
  </si>
  <si>
    <t>Arbeidsgiveravgift</t>
  </si>
  <si>
    <t>Gaver til ansatte</t>
  </si>
  <si>
    <t>Yrkesskadeforsikring</t>
  </si>
  <si>
    <t>Annen personalkostn.</t>
  </si>
  <si>
    <t>Avskriving bygning</t>
  </si>
  <si>
    <t>Avskr. mask. og anlegg</t>
  </si>
  <si>
    <t>Avskriving biler</t>
  </si>
  <si>
    <t>Avskriving inventar</t>
  </si>
  <si>
    <t>Avskrivning verktøy o.l</t>
  </si>
  <si>
    <t>Frakt o.l ved varefors.</t>
  </si>
  <si>
    <t>Leie lokaler</t>
  </si>
  <si>
    <t>Lys, varme</t>
  </si>
  <si>
    <t>Rep. og vedlikeh. utstyr</t>
  </si>
  <si>
    <t>Revisjon-, regnsk. hon.</t>
  </si>
  <si>
    <t>Kontorrekvisita</t>
  </si>
  <si>
    <t>Telefon</t>
  </si>
  <si>
    <t>Porto</t>
  </si>
  <si>
    <t>Bensin</t>
  </si>
  <si>
    <t>Diesel</t>
  </si>
  <si>
    <t>Vedlikehold transportm.</t>
  </si>
  <si>
    <t>Forsikring transportm.</t>
  </si>
  <si>
    <t>Salgskostnad</t>
  </si>
  <si>
    <t>Reklamekostnad</t>
  </si>
  <si>
    <t>Kontingent, fradragsb.</t>
  </si>
  <si>
    <t>Forsikring</t>
  </si>
  <si>
    <t>Annen kostnad</t>
  </si>
  <si>
    <t>Tap på fordringer</t>
  </si>
  <si>
    <t>Renteinntekt</t>
  </si>
  <si>
    <t>Rentekostnad</t>
  </si>
  <si>
    <t>Betalbar skatt ord. res.</t>
  </si>
  <si>
    <t>Bet. b. sk. ekstraord. r.</t>
  </si>
  <si>
    <t>Overf. a. egenkapital</t>
  </si>
  <si>
    <t>Udekket tap</t>
  </si>
  <si>
    <t>Diverse kunder</t>
  </si>
  <si>
    <t>Diverse leverandører</t>
  </si>
  <si>
    <t>Første kontonummer for enkeltkunder</t>
  </si>
  <si>
    <t>Første kontonummer for enkeltleverandører</t>
  </si>
  <si>
    <t>Utskriftsmeny</t>
  </si>
  <si>
    <t>Klikk på knappene til høyre for å skrive ut</t>
  </si>
  <si>
    <t>RF-0002 Alminnelig omsetningsoppgave</t>
  </si>
  <si>
    <t>Hovedoppgave</t>
  </si>
  <si>
    <t>Korrigert oppgave</t>
  </si>
  <si>
    <t xml:space="preserve"> Termintype</t>
  </si>
  <si>
    <t>Termin oppgaveperiode</t>
  </si>
  <si>
    <t>År</t>
  </si>
  <si>
    <t>Tillleggsoppgave</t>
  </si>
  <si>
    <t>Org. nr</t>
  </si>
  <si>
    <t>Forklaring til postene</t>
  </si>
  <si>
    <t>Samlet omsetning og uttak innenfor og uten-
for merverdiavgiftsloven (se veiledningen)</t>
  </si>
  <si>
    <t>Samlet omsetning og uttak innenfor mva-loven. Summen av postene 3, 4, 5 og 6. Avgift ikke medregnet</t>
  </si>
  <si>
    <t>Omsetning og uttak i post 2 som 
fritatt for merverdiavgift</t>
  </si>
  <si>
    <t>Fradragberettiget inngående avgift,
høy sats</t>
  </si>
  <si>
    <t>Avgift til gode</t>
  </si>
  <si>
    <t>Tillleggsopplysninger</t>
  </si>
  <si>
    <t>Nilsen Bakervarer AS</t>
  </si>
  <si>
    <t>Budservice AS</t>
  </si>
  <si>
    <t>Biltilbehør AS</t>
  </si>
  <si>
    <t>Autopart AS</t>
  </si>
  <si>
    <t>Fradragberettiget inngående avgift,
middels sats</t>
  </si>
  <si>
    <t>Fradragberettiget inngående avgift,
lav sats</t>
  </si>
  <si>
    <t>Verktøy mv ikke akt.</t>
  </si>
  <si>
    <t>Ferielønn</t>
  </si>
</sst>
</file>

<file path=xl/styles.xml><?xml version="1.0" encoding="utf-8"?>
<styleSheet xmlns="http://schemas.openxmlformats.org/spreadsheetml/2006/main">
  <numFmts count="5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%"/>
    <numFmt numFmtId="173" formatCode="0.00%"/>
    <numFmt numFmtId="174" formatCode="General;[Red]\-General;"/>
    <numFmt numFmtId="175" formatCode="#,##0.00;[Red]\-#,##0.00;"/>
    <numFmt numFmtId="176" formatCode="General;"/>
    <numFmt numFmtId="177" formatCode="General;;"/>
    <numFmt numFmtId="178" formatCode="#,##0;[Red]\-#,##0;"/>
    <numFmt numFmtId="179" formatCode="\+#,##0.00;[Red]\-#,##0.00;"/>
    <numFmt numFmtId="180" formatCode="dd/mmm;;"/>
    <numFmt numFmtId="181" formatCode="#,##0.00;[Red]\-#,##0.0;"/>
    <numFmt numFmtId="182" formatCode="#,##0.00;[Red]\-#,##0;"/>
    <numFmt numFmtId="183" formatCode="#,##0;[Red]\-#,##0_;;"/>
    <numFmt numFmtId="184" formatCode="#,##0;[Red]\-#,##0_;"/>
    <numFmt numFmtId="185" formatCode="mmmm\ yy"/>
    <numFmt numFmtId="186" formatCode="0.0%"/>
    <numFmt numFmtId="187" formatCode="#,##0.0\ %;[Red]\-#,##0.0\ %"/>
    <numFmt numFmtId="188" formatCode="#,##0.0\ %;[Red]\-#,##0.0\ %;;"/>
    <numFmt numFmtId="189" formatCode="&quot;kr&quot;\ #,##0.000;[Red]&quot;kr&quot;\ \-#,##0.000"/>
    <numFmt numFmtId="190" formatCode="&quot;kr&quot;\ #,##0.0000;[Red]&quot;kr&quot;\ \-#,##0.0000"/>
    <numFmt numFmtId="191" formatCode="&quot;kr&quot;\ #,##0.00000;[Red]&quot;kr&quot;\ \-#,##0.00000"/>
    <numFmt numFmtId="192" formatCode="&quot;kr&quot;\ #,##0.000000;[Red]&quot;kr&quot;\ \-#,##0.000000"/>
    <numFmt numFmtId="193" formatCode="&quot;kr&quot;\ #,##0.0000000;[Red]&quot;kr&quot;\ \-#,##0.0000000"/>
    <numFmt numFmtId="194" formatCode="&quot;kr&quot;\ #,##0.0;[Red]&quot;kr&quot;\ \-#,##0.0"/>
    <numFmt numFmtId="195" formatCode="#,##0.0;[Red]\-#,##0.0"/>
    <numFmt numFmtId="196" formatCode="#,##0;[Red]\-#,##0;;"/>
    <numFmt numFmtId="197" formatCode="0.0000"/>
    <numFmt numFmtId="198" formatCode="0.000"/>
    <numFmt numFmtId="199" formatCode="0.0"/>
    <numFmt numFmtId="200" formatCode="#,##0;[Red]#,##0"/>
    <numFmt numFmtId="201" formatCode="#,##0_ ;[Red]\-#,##0\ "/>
    <numFmt numFmtId="202" formatCode="#,##0_ ;[Red]\-#,##0\ ;;"/>
    <numFmt numFmtId="203" formatCode="&quot;Ja&quot;;&quot;Ja&quot;;&quot;Nei&quot;"/>
    <numFmt numFmtId="204" formatCode="&quot;Sann&quot;;&quot;Sann&quot;;&quot;Usann&quot;"/>
    <numFmt numFmtId="205" formatCode="&quot;På&quot;;&quot;På&quot;;&quot;Av&quot;"/>
    <numFmt numFmtId="206" formatCode="0;;"/>
    <numFmt numFmtId="207" formatCode="#,##0;[Red]#,##0;;"/>
    <numFmt numFmtId="208" formatCode="mmm/yyyy"/>
    <numFmt numFmtId="209" formatCode="#,##0.00;[Red]#,##0.00;"/>
    <numFmt numFmtId="210" formatCode="#,##0.00;#,##0.00;"/>
    <numFmt numFmtId="211" formatCode="#,##0,;[Red]\-#,##0\ ;;"/>
  </numFmts>
  <fonts count="33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6"/>
      <name val="Arial"/>
      <family val="2"/>
    </font>
    <font>
      <b/>
      <sz val="11"/>
      <color indexed="9"/>
      <name val="Arial"/>
      <family val="2"/>
    </font>
    <font>
      <sz val="26"/>
      <color indexed="9"/>
      <name val="Arial"/>
      <family val="2"/>
    </font>
    <font>
      <sz val="11"/>
      <color indexed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6"/>
      <name val="Symbol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503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175" fontId="5" fillId="2" borderId="2" xfId="0" applyNumberFormat="1" applyFont="1" applyFill="1" applyBorder="1" applyAlignment="1" applyProtection="1">
      <alignment vertical="center"/>
      <protection/>
    </xf>
    <xf numFmtId="49" fontId="6" fillId="2" borderId="2" xfId="0" applyNumberFormat="1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/>
    </xf>
    <xf numFmtId="172" fontId="6" fillId="2" borderId="3" xfId="17" applyFont="1" applyFill="1" applyBorder="1" applyAlignment="1" applyProtection="1">
      <alignment horizontal="left" vertical="center"/>
      <protection locked="0"/>
    </xf>
    <xf numFmtId="177" fontId="5" fillId="2" borderId="3" xfId="0" applyNumberFormat="1" applyFont="1" applyFill="1" applyBorder="1" applyAlignment="1" applyProtection="1" quotePrefix="1">
      <alignment horizontal="centerContinuous" vertical="center"/>
      <protection/>
    </xf>
    <xf numFmtId="175" fontId="5" fillId="2" borderId="2" xfId="0" applyNumberFormat="1" applyFont="1" applyFill="1" applyBorder="1" applyAlignment="1" applyProtection="1">
      <alignment horizontal="centerContinuous" vertical="center"/>
      <protection locked="0"/>
    </xf>
    <xf numFmtId="175" fontId="5" fillId="2" borderId="4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" fillId="2" borderId="5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 quotePrefix="1">
      <alignment horizontal="center"/>
      <protection/>
    </xf>
    <xf numFmtId="0" fontId="5" fillId="2" borderId="7" xfId="0" applyFont="1" applyFill="1" applyBorder="1" applyAlignment="1" applyProtection="1">
      <alignment horizontal="right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/>
      <protection/>
    </xf>
    <xf numFmtId="177" fontId="5" fillId="2" borderId="6" xfId="0" applyNumberFormat="1" applyFont="1" applyFill="1" applyBorder="1" applyAlignment="1" applyProtection="1">
      <alignment horizontal="center"/>
      <protection/>
    </xf>
    <xf numFmtId="175" fontId="5" fillId="2" borderId="6" xfId="0" applyNumberFormat="1" applyFont="1" applyFill="1" applyBorder="1" applyAlignment="1" applyProtection="1">
      <alignment horizontal="center"/>
      <protection/>
    </xf>
    <xf numFmtId="1" fontId="5" fillId="2" borderId="6" xfId="0" applyNumberFormat="1" applyFont="1" applyFill="1" applyBorder="1" applyAlignment="1" applyProtection="1">
      <alignment horizontal="center"/>
      <protection/>
    </xf>
    <xf numFmtId="1" fontId="5" fillId="2" borderId="8" xfId="0" applyNumberFormat="1" applyFont="1" applyFill="1" applyBorder="1" applyAlignment="1" applyProtection="1">
      <alignment horizontal="center"/>
      <protection/>
    </xf>
    <xf numFmtId="0" fontId="5" fillId="2" borderId="9" xfId="0" applyFont="1" applyFill="1" applyBorder="1" applyAlignment="1" applyProtection="1">
      <alignment horizontal="center"/>
      <protection/>
    </xf>
    <xf numFmtId="0" fontId="5" fillId="2" borderId="10" xfId="0" applyFont="1" applyFill="1" applyBorder="1" applyAlignment="1" applyProtection="1">
      <alignment horizontal="center"/>
      <protection/>
    </xf>
    <xf numFmtId="0" fontId="5" fillId="2" borderId="11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 quotePrefix="1">
      <alignment horizontal="center"/>
      <protection/>
    </xf>
    <xf numFmtId="0" fontId="5" fillId="2" borderId="10" xfId="0" applyFont="1" applyFill="1" applyBorder="1" applyAlignment="1" applyProtection="1">
      <alignment horizontal="left"/>
      <protection/>
    </xf>
    <xf numFmtId="177" fontId="5" fillId="2" borderId="10" xfId="0" applyNumberFormat="1" applyFont="1" applyFill="1" applyBorder="1" applyAlignment="1" applyProtection="1">
      <alignment horizontal="center"/>
      <protection/>
    </xf>
    <xf numFmtId="175" fontId="5" fillId="2" borderId="10" xfId="0" applyNumberFormat="1" applyFont="1" applyFill="1" applyBorder="1" applyAlignment="1" applyProtection="1">
      <alignment horizontal="center"/>
      <protection/>
    </xf>
    <xf numFmtId="175" fontId="5" fillId="2" borderId="10" xfId="0" applyNumberFormat="1" applyFont="1" applyFill="1" applyBorder="1" applyAlignment="1" applyProtection="1" quotePrefix="1">
      <alignment horizontal="center"/>
      <protection/>
    </xf>
    <xf numFmtId="175" fontId="5" fillId="2" borderId="12" xfId="0" applyNumberFormat="1" applyFont="1" applyFill="1" applyBorder="1" applyAlignment="1" applyProtection="1" quotePrefix="1">
      <alignment horizontal="center"/>
      <protection/>
    </xf>
    <xf numFmtId="180" fontId="7" fillId="0" borderId="13" xfId="0" applyNumberFormat="1" applyFont="1" applyFill="1" applyBorder="1" applyAlignment="1" applyProtection="1">
      <alignment/>
      <protection locked="0"/>
    </xf>
    <xf numFmtId="177" fontId="7" fillId="0" borderId="14" xfId="0" applyNumberFormat="1" applyFont="1" applyFill="1" applyBorder="1" applyAlignment="1" applyProtection="1">
      <alignment/>
      <protection locked="0"/>
    </xf>
    <xf numFmtId="177" fontId="7" fillId="0" borderId="15" xfId="0" applyNumberFormat="1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/>
      <protection/>
    </xf>
    <xf numFmtId="177" fontId="7" fillId="0" borderId="14" xfId="0" applyNumberFormat="1" applyFont="1" applyFill="1" applyBorder="1" applyAlignment="1" applyProtection="1">
      <alignment horizontal="center"/>
      <protection locked="0"/>
    </xf>
    <xf numFmtId="175" fontId="7" fillId="0" borderId="14" xfId="0" applyNumberFormat="1" applyFont="1" applyFill="1" applyBorder="1" applyAlignment="1" applyProtection="1">
      <alignment/>
      <protection locked="0"/>
    </xf>
    <xf numFmtId="175" fontId="7" fillId="2" borderId="14" xfId="0" applyNumberFormat="1" applyFont="1" applyFill="1" applyBorder="1" applyAlignment="1" applyProtection="1">
      <alignment/>
      <protection locked="0"/>
    </xf>
    <xf numFmtId="179" fontId="0" fillId="0" borderId="14" xfId="0" applyNumberFormat="1" applyFont="1" applyFill="1" applyBorder="1" applyAlignment="1" applyProtection="1">
      <alignment/>
      <protection/>
    </xf>
    <xf numFmtId="179" fontId="0" fillId="0" borderId="16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80" fontId="7" fillId="0" borderId="17" xfId="0" applyNumberFormat="1" applyFont="1" applyFill="1" applyBorder="1" applyAlignment="1" applyProtection="1">
      <alignment/>
      <protection locked="0"/>
    </xf>
    <xf numFmtId="177" fontId="7" fillId="0" borderId="18" xfId="0" applyNumberFormat="1" applyFont="1" applyFill="1" applyBorder="1" applyAlignment="1" applyProtection="1">
      <alignment/>
      <protection locked="0"/>
    </xf>
    <xf numFmtId="177" fontId="7" fillId="0" borderId="19" xfId="0" applyNumberFormat="1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/>
      <protection/>
    </xf>
    <xf numFmtId="177" fontId="7" fillId="0" borderId="18" xfId="0" applyNumberFormat="1" applyFont="1" applyFill="1" applyBorder="1" applyAlignment="1" applyProtection="1">
      <alignment horizontal="center"/>
      <protection locked="0"/>
    </xf>
    <xf numFmtId="175" fontId="7" fillId="0" borderId="18" xfId="0" applyNumberFormat="1" applyFont="1" applyFill="1" applyBorder="1" applyAlignment="1" applyProtection="1">
      <alignment/>
      <protection locked="0"/>
    </xf>
    <xf numFmtId="175" fontId="7" fillId="2" borderId="18" xfId="0" applyNumberFormat="1" applyFont="1" applyFill="1" applyBorder="1" applyAlignment="1" applyProtection="1">
      <alignment/>
      <protection locked="0"/>
    </xf>
    <xf numFmtId="179" fontId="0" fillId="0" borderId="18" xfId="0" applyNumberFormat="1" applyFont="1" applyFill="1" applyBorder="1" applyAlignment="1" applyProtection="1">
      <alignment/>
      <protection/>
    </xf>
    <xf numFmtId="179" fontId="0" fillId="0" borderId="2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 applyProtection="1">
      <alignment horizontal="center"/>
      <protection locked="0"/>
    </xf>
    <xf numFmtId="175" fontId="0" fillId="0" borderId="0" xfId="0" applyNumberFormat="1" applyFont="1" applyFill="1" applyBorder="1" applyAlignment="1" applyProtection="1">
      <alignment/>
      <protection locked="0"/>
    </xf>
    <xf numFmtId="175" fontId="0" fillId="0" borderId="0" xfId="0" applyNumberFormat="1" applyFont="1" applyFill="1" applyBorder="1" applyAlignment="1" applyProtection="1">
      <alignment/>
      <protection/>
    </xf>
    <xf numFmtId="175" fontId="5" fillId="2" borderId="21" xfId="0" applyNumberFormat="1" applyFont="1" applyFill="1" applyBorder="1" applyAlignment="1" applyProtection="1">
      <alignment horizontal="centerContinuous"/>
      <protection/>
    </xf>
    <xf numFmtId="175" fontId="5" fillId="2" borderId="22" xfId="0" applyNumberFormat="1" applyFont="1" applyFill="1" applyBorder="1" applyAlignment="1" applyProtection="1">
      <alignment horizontal="centerContinuous"/>
      <protection/>
    </xf>
    <xf numFmtId="0" fontId="9" fillId="3" borderId="21" xfId="0" applyFont="1" applyFill="1" applyBorder="1" applyAlignment="1" applyProtection="1">
      <alignment horizontal="centerContinuous"/>
      <protection/>
    </xf>
    <xf numFmtId="0" fontId="0" fillId="3" borderId="23" xfId="0" applyFont="1" applyFill="1" applyBorder="1" applyAlignment="1" applyProtection="1">
      <alignment horizontal="centerContinuous"/>
      <protection/>
    </xf>
    <xf numFmtId="0" fontId="0" fillId="3" borderId="22" xfId="0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9" fillId="3" borderId="21" xfId="0" applyFont="1" applyFill="1" applyBorder="1" applyAlignment="1" applyProtection="1">
      <alignment horizontal="center"/>
      <protection/>
    </xf>
    <xf numFmtId="0" fontId="9" fillId="3" borderId="21" xfId="0" applyFont="1" applyFill="1" applyBorder="1" applyAlignment="1" applyProtection="1">
      <alignment/>
      <protection/>
    </xf>
    <xf numFmtId="0" fontId="9" fillId="3" borderId="24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3" borderId="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9" fillId="4" borderId="5" xfId="0" applyFont="1" applyFill="1" applyBorder="1" applyAlignment="1" applyProtection="1">
      <alignment/>
      <protection/>
    </xf>
    <xf numFmtId="0" fontId="9" fillId="4" borderId="6" xfId="0" applyFont="1" applyFill="1" applyBorder="1" applyAlignment="1" applyProtection="1" quotePrefix="1">
      <alignment horizontal="center"/>
      <protection/>
    </xf>
    <xf numFmtId="0" fontId="9" fillId="4" borderId="7" xfId="0" applyFont="1" applyFill="1" applyBorder="1" applyAlignment="1" applyProtection="1">
      <alignment horizontal="right"/>
      <protection/>
    </xf>
    <xf numFmtId="0" fontId="9" fillId="4" borderId="6" xfId="0" applyFont="1" applyFill="1" applyBorder="1" applyAlignment="1" applyProtection="1">
      <alignment horizontal="center"/>
      <protection/>
    </xf>
    <xf numFmtId="0" fontId="9" fillId="4" borderId="6" xfId="0" applyFont="1" applyFill="1" applyBorder="1" applyAlignment="1" applyProtection="1">
      <alignment/>
      <protection/>
    </xf>
    <xf numFmtId="177" fontId="9" fillId="4" borderId="6" xfId="0" applyNumberFormat="1" applyFont="1" applyFill="1" applyBorder="1" applyAlignment="1" applyProtection="1">
      <alignment horizontal="center"/>
      <protection/>
    </xf>
    <xf numFmtId="175" fontId="9" fillId="4" borderId="21" xfId="0" applyNumberFormat="1" applyFont="1" applyFill="1" applyBorder="1" applyAlignment="1" applyProtection="1">
      <alignment horizontal="centerContinuous"/>
      <protection/>
    </xf>
    <xf numFmtId="175" fontId="9" fillId="4" borderId="25" xfId="0" applyNumberFormat="1" applyFont="1" applyFill="1" applyBorder="1" applyAlignment="1" applyProtection="1">
      <alignment horizontal="centerContinuous"/>
      <protection/>
    </xf>
    <xf numFmtId="175" fontId="9" fillId="4" borderId="6" xfId="0" applyNumberFormat="1" applyFont="1" applyFill="1" applyBorder="1" applyAlignment="1" applyProtection="1">
      <alignment horizontal="center"/>
      <protection/>
    </xf>
    <xf numFmtId="1" fontId="9" fillId="4" borderId="6" xfId="0" applyNumberFormat="1" applyFont="1" applyFill="1" applyBorder="1" applyAlignment="1" applyProtection="1">
      <alignment horizontal="center"/>
      <protection/>
    </xf>
    <xf numFmtId="1" fontId="9" fillId="4" borderId="8" xfId="0" applyNumberFormat="1" applyFont="1" applyFill="1" applyBorder="1" applyAlignment="1" applyProtection="1">
      <alignment horizontal="center"/>
      <protection/>
    </xf>
    <xf numFmtId="175" fontId="9" fillId="4" borderId="26" xfId="0" applyNumberFormat="1" applyFont="1" applyFill="1" applyBorder="1" applyAlignment="1" applyProtection="1">
      <alignment horizontal="center"/>
      <protection/>
    </xf>
    <xf numFmtId="175" fontId="9" fillId="4" borderId="8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 horizontal="left"/>
      <protection/>
    </xf>
    <xf numFmtId="0" fontId="9" fillId="4" borderId="9" xfId="0" applyFont="1" applyFill="1" applyBorder="1" applyAlignment="1" applyProtection="1">
      <alignment horizontal="center"/>
      <protection/>
    </xf>
    <xf numFmtId="0" fontId="9" fillId="4" borderId="10" xfId="0" applyFont="1" applyFill="1" applyBorder="1" applyAlignment="1" applyProtection="1">
      <alignment horizontal="center"/>
      <protection/>
    </xf>
    <xf numFmtId="0" fontId="9" fillId="4" borderId="11" xfId="0" applyFont="1" applyFill="1" applyBorder="1" applyAlignment="1" applyProtection="1">
      <alignment/>
      <protection/>
    </xf>
    <xf numFmtId="0" fontId="9" fillId="4" borderId="10" xfId="0" applyFont="1" applyFill="1" applyBorder="1" applyAlignment="1" applyProtection="1" quotePrefix="1">
      <alignment horizontal="center"/>
      <protection/>
    </xf>
    <xf numFmtId="0" fontId="9" fillId="4" borderId="10" xfId="0" applyFont="1" applyFill="1" applyBorder="1" applyAlignment="1" applyProtection="1">
      <alignment horizontal="left"/>
      <protection/>
    </xf>
    <xf numFmtId="177" fontId="9" fillId="4" borderId="10" xfId="0" applyNumberFormat="1" applyFont="1" applyFill="1" applyBorder="1" applyAlignment="1" applyProtection="1">
      <alignment horizontal="center"/>
      <protection/>
    </xf>
    <xf numFmtId="175" fontId="9" fillId="4" borderId="10" xfId="0" applyNumberFormat="1" applyFont="1" applyFill="1" applyBorder="1" applyAlignment="1" applyProtection="1">
      <alignment horizontal="center"/>
      <protection/>
    </xf>
    <xf numFmtId="175" fontId="9" fillId="4" borderId="27" xfId="0" applyNumberFormat="1" applyFont="1" applyFill="1" applyBorder="1" applyAlignment="1" applyProtection="1">
      <alignment horizontal="center"/>
      <protection/>
    </xf>
    <xf numFmtId="175" fontId="9" fillId="4" borderId="10" xfId="0" applyNumberFormat="1" applyFont="1" applyFill="1" applyBorder="1" applyAlignment="1" applyProtection="1" quotePrefix="1">
      <alignment horizontal="center"/>
      <protection/>
    </xf>
    <xf numFmtId="175" fontId="9" fillId="4" borderId="12" xfId="0" applyNumberFormat="1" applyFont="1" applyFill="1" applyBorder="1" applyAlignment="1" applyProtection="1" quotePrefix="1">
      <alignment horizontal="center"/>
      <protection/>
    </xf>
    <xf numFmtId="175" fontId="9" fillId="4" borderId="28" xfId="0" applyNumberFormat="1" applyFont="1" applyFill="1" applyBorder="1" applyAlignment="1" applyProtection="1">
      <alignment horizontal="center"/>
      <protection/>
    </xf>
    <xf numFmtId="175" fontId="9" fillId="4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/>
      <protection locked="0"/>
    </xf>
    <xf numFmtId="177" fontId="7" fillId="0" borderId="14" xfId="0" applyNumberFormat="1" applyFont="1" applyBorder="1" applyAlignment="1" applyProtection="1">
      <alignment/>
      <protection locked="0"/>
    </xf>
    <xf numFmtId="177" fontId="7" fillId="0" borderId="15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/>
      <protection/>
    </xf>
    <xf numFmtId="177" fontId="7" fillId="0" borderId="14" xfId="0" applyNumberFormat="1" applyFont="1" applyBorder="1" applyAlignment="1" applyProtection="1">
      <alignment horizontal="center"/>
      <protection locked="0"/>
    </xf>
    <xf numFmtId="175" fontId="7" fillId="0" borderId="14" xfId="0" applyNumberFormat="1" applyFont="1" applyBorder="1" applyAlignment="1" applyProtection="1">
      <alignment/>
      <protection locked="0"/>
    </xf>
    <xf numFmtId="175" fontId="7" fillId="4" borderId="29" xfId="0" applyNumberFormat="1" applyFont="1" applyFill="1" applyBorder="1" applyAlignment="1" applyProtection="1">
      <alignment/>
      <protection locked="0"/>
    </xf>
    <xf numFmtId="179" fontId="0" fillId="0" borderId="16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77" fontId="7" fillId="0" borderId="15" xfId="0" applyNumberFormat="1" applyFont="1" applyBorder="1" applyAlignment="1" applyProtection="1">
      <alignment horizontal="left"/>
      <protection locked="0"/>
    </xf>
    <xf numFmtId="177" fontId="7" fillId="0" borderId="10" xfId="0" applyNumberFormat="1" applyFont="1" applyBorder="1" applyAlignment="1" applyProtection="1">
      <alignment/>
      <protection locked="0"/>
    </xf>
    <xf numFmtId="177" fontId="7" fillId="0" borderId="11" xfId="0" applyNumberFormat="1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/>
      <protection/>
    </xf>
    <xf numFmtId="177" fontId="7" fillId="0" borderId="10" xfId="0" applyNumberFormat="1" applyFont="1" applyBorder="1" applyAlignment="1" applyProtection="1">
      <alignment horizontal="center"/>
      <protection locked="0"/>
    </xf>
    <xf numFmtId="175" fontId="7" fillId="0" borderId="10" xfId="0" applyNumberFormat="1" applyFont="1" applyBorder="1" applyAlignment="1" applyProtection="1">
      <alignment/>
      <protection locked="0"/>
    </xf>
    <xf numFmtId="175" fontId="7" fillId="4" borderId="27" xfId="0" applyNumberFormat="1" applyFont="1" applyFill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 horizontal="center"/>
      <protection/>
    </xf>
    <xf numFmtId="177" fontId="0" fillId="0" borderId="31" xfId="0" applyNumberFormat="1" applyFont="1" applyBorder="1" applyAlignment="1" applyProtection="1">
      <alignment horizontal="center"/>
      <protection/>
    </xf>
    <xf numFmtId="175" fontId="0" fillId="0" borderId="31" xfId="0" applyNumberFormat="1" applyFont="1" applyBorder="1" applyAlignment="1" applyProtection="1">
      <alignment/>
      <protection/>
    </xf>
    <xf numFmtId="175" fontId="0" fillId="4" borderId="33" xfId="0" applyNumberFormat="1" applyFont="1" applyFill="1" applyBorder="1" applyAlignment="1" applyProtection="1">
      <alignment/>
      <protection/>
    </xf>
    <xf numFmtId="179" fontId="0" fillId="0" borderId="34" xfId="0" applyNumberFormat="1" applyFont="1" applyBorder="1" applyAlignment="1" applyProtection="1">
      <alignment/>
      <protection/>
    </xf>
    <xf numFmtId="179" fontId="0" fillId="0" borderId="35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77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185" fontId="14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13" fillId="0" borderId="0" xfId="0" applyFont="1" applyBorder="1" applyAlignment="1" quotePrefix="1">
      <alignment horizontal="left"/>
    </xf>
    <xf numFmtId="0" fontId="0" fillId="0" borderId="0" xfId="0" applyFont="1" applyAlignment="1">
      <alignment/>
    </xf>
    <xf numFmtId="185" fontId="13" fillId="0" borderId="7" xfId="0" applyNumberFormat="1" applyFont="1" applyBorder="1" applyAlignment="1">
      <alignment horizontal="left"/>
    </xf>
    <xf numFmtId="185" fontId="10" fillId="0" borderId="36" xfId="0" applyNumberFormat="1" applyFont="1" applyBorder="1" applyAlignment="1" quotePrefix="1">
      <alignment horizontal="left"/>
    </xf>
    <xf numFmtId="0" fontId="15" fillId="0" borderId="0" xfId="0" applyFont="1" applyBorder="1" applyAlignment="1">
      <alignment horizontal="centerContinuous"/>
    </xf>
    <xf numFmtId="185" fontId="5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5" fillId="0" borderId="36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185" fontId="15" fillId="0" borderId="36" xfId="0" applyNumberFormat="1" applyFont="1" applyBorder="1" applyAlignment="1">
      <alignment horizontal="left"/>
    </xf>
    <xf numFmtId="0" fontId="15" fillId="0" borderId="11" xfId="0" applyFont="1" applyBorder="1" applyAlignment="1">
      <alignment/>
    </xf>
    <xf numFmtId="0" fontId="5" fillId="0" borderId="11" xfId="0" applyFont="1" applyBorder="1" applyAlignment="1">
      <alignment/>
    </xf>
    <xf numFmtId="185" fontId="15" fillId="0" borderId="11" xfId="0" applyNumberFormat="1" applyFont="1" applyBorder="1" applyAlignment="1">
      <alignment horizontal="left"/>
    </xf>
    <xf numFmtId="167" fontId="0" fillId="0" borderId="0" xfId="0" applyNumberFormat="1" applyFont="1" applyAlignment="1">
      <alignment horizontal="left"/>
    </xf>
    <xf numFmtId="0" fontId="5" fillId="0" borderId="11" xfId="0" applyFont="1" applyBorder="1" applyAlignment="1" quotePrefix="1">
      <alignment horizontal="left"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84" fontId="15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85" fontId="15" fillId="0" borderId="0" xfId="0" applyNumberFormat="1" applyFont="1" applyBorder="1" applyAlignment="1">
      <alignment horizontal="left"/>
    </xf>
    <xf numFmtId="165" fontId="0" fillId="0" borderId="0" xfId="0" applyNumberFormat="1" applyFont="1" applyAlignment="1">
      <alignment/>
    </xf>
    <xf numFmtId="195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 quotePrefix="1">
      <alignment horizontal="left"/>
      <protection/>
    </xf>
    <xf numFmtId="0" fontId="0" fillId="0" borderId="37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9" fillId="0" borderId="0" xfId="0" applyNumberFormat="1" applyFont="1" applyFill="1" applyBorder="1" applyAlignment="1" applyProtection="1" quotePrefix="1">
      <alignment horizont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/>
      <protection/>
    </xf>
    <xf numFmtId="179" fontId="0" fillId="0" borderId="38" xfId="0" applyNumberFormat="1" applyFont="1" applyBorder="1" applyAlignment="1" applyProtection="1">
      <alignment/>
      <protection/>
    </xf>
    <xf numFmtId="179" fontId="0" fillId="0" borderId="16" xfId="0" applyNumberFormat="1" applyFont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0" fillId="5" borderId="0" xfId="0" applyFont="1" applyFill="1" applyAlignment="1" applyProtection="1">
      <alignment horizontal="center"/>
      <protection/>
    </xf>
    <xf numFmtId="177" fontId="0" fillId="5" borderId="0" xfId="0" applyNumberFormat="1" applyFont="1" applyFill="1" applyAlignment="1" applyProtection="1">
      <alignment horizontal="center"/>
      <protection/>
    </xf>
    <xf numFmtId="175" fontId="11" fillId="5" borderId="0" xfId="0" applyNumberFormat="1" applyFont="1" applyFill="1" applyAlignment="1" applyProtection="1">
      <alignment vertical="center"/>
      <protection/>
    </xf>
    <xf numFmtId="0" fontId="0" fillId="5" borderId="0" xfId="0" applyFont="1" applyFill="1" applyAlignment="1">
      <alignment/>
    </xf>
    <xf numFmtId="175" fontId="0" fillId="5" borderId="0" xfId="0" applyNumberFormat="1" applyFont="1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185" fontId="14" fillId="5" borderId="0" xfId="0" applyNumberFormat="1" applyFont="1" applyFill="1" applyBorder="1" applyAlignment="1">
      <alignment horizontal="centerContinuous"/>
    </xf>
    <xf numFmtId="0" fontId="0" fillId="5" borderId="0" xfId="0" applyFont="1" applyFill="1" applyBorder="1" applyAlignment="1">
      <alignment horizontal="centerContinuous"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9" fillId="5" borderId="0" xfId="0" applyNumberFormat="1" applyFont="1" applyFill="1" applyBorder="1" applyAlignment="1" applyProtection="1">
      <alignment horizontal="center"/>
      <protection/>
    </xf>
    <xf numFmtId="0" fontId="9" fillId="5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75" fontId="9" fillId="3" borderId="37" xfId="0" applyNumberFormat="1" applyFont="1" applyFill="1" applyBorder="1" applyAlignment="1" applyProtection="1">
      <alignment horizontal="centerContinuous" vertical="center"/>
      <protection locked="0"/>
    </xf>
    <xf numFmtId="175" fontId="9" fillId="3" borderId="37" xfId="0" applyNumberFormat="1" applyFont="1" applyFill="1" applyBorder="1" applyAlignment="1" applyProtection="1">
      <alignment/>
      <protection/>
    </xf>
    <xf numFmtId="175" fontId="9" fillId="3" borderId="39" xfId="0" applyNumberFormat="1" applyFont="1" applyFill="1" applyBorder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0" fillId="3" borderId="9" xfId="0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0" fontId="0" fillId="3" borderId="4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22" fillId="6" borderId="0" xfId="0" applyFont="1" applyFill="1" applyAlignment="1">
      <alignment/>
    </xf>
    <xf numFmtId="0" fontId="23" fillId="6" borderId="0" xfId="0" applyFont="1" applyFill="1" applyAlignment="1">
      <alignment/>
    </xf>
    <xf numFmtId="0" fontId="0" fillId="6" borderId="0" xfId="0" applyFill="1" applyBorder="1" applyAlignment="1">
      <alignment/>
    </xf>
    <xf numFmtId="185" fontId="18" fillId="3" borderId="21" xfId="0" applyNumberFormat="1" applyFont="1" applyFill="1" applyBorder="1" applyAlignment="1">
      <alignment horizontal="centerContinuous"/>
    </xf>
    <xf numFmtId="0" fontId="0" fillId="3" borderId="23" xfId="0" applyFont="1" applyFill="1" applyBorder="1" applyAlignment="1">
      <alignment horizontal="centerContinuous"/>
    </xf>
    <xf numFmtId="0" fontId="0" fillId="3" borderId="22" xfId="0" applyFont="1" applyFill="1" applyBorder="1" applyAlignment="1">
      <alignment horizontal="centerContinuous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185" fontId="5" fillId="3" borderId="11" xfId="0" applyNumberFormat="1" applyFont="1" applyFill="1" applyBorder="1" applyAlignment="1">
      <alignment horizontal="left"/>
    </xf>
    <xf numFmtId="188" fontId="5" fillId="3" borderId="41" xfId="0" applyNumberFormat="1" applyFont="1" applyFill="1" applyBorder="1" applyAlignment="1">
      <alignment/>
    </xf>
    <xf numFmtId="185" fontId="15" fillId="3" borderId="36" xfId="0" applyNumberFormat="1" applyFont="1" applyFill="1" applyBorder="1" applyAlignment="1">
      <alignment horizontal="left"/>
    </xf>
    <xf numFmtId="196" fontId="15" fillId="3" borderId="42" xfId="0" applyNumberFormat="1" applyFont="1" applyFill="1" applyBorder="1" applyAlignment="1">
      <alignment/>
    </xf>
    <xf numFmtId="188" fontId="15" fillId="3" borderId="42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185" fontId="15" fillId="3" borderId="11" xfId="0" applyNumberFormat="1" applyFont="1" applyFill="1" applyBorder="1" applyAlignment="1">
      <alignment horizontal="left"/>
    </xf>
    <xf numFmtId="196" fontId="15" fillId="3" borderId="41" xfId="0" applyNumberFormat="1" applyFont="1" applyFill="1" applyBorder="1" applyAlignment="1">
      <alignment/>
    </xf>
    <xf numFmtId="188" fontId="15" fillId="3" borderId="41" xfId="0" applyNumberFormat="1" applyFont="1" applyFill="1" applyBorder="1" applyAlignment="1">
      <alignment/>
    </xf>
    <xf numFmtId="0" fontId="5" fillId="3" borderId="11" xfId="0" applyFont="1" applyFill="1" applyBorder="1" applyAlignment="1">
      <alignment/>
    </xf>
    <xf numFmtId="38" fontId="5" fillId="3" borderId="1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188" fontId="17" fillId="3" borderId="0" xfId="17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15" fillId="3" borderId="0" xfId="0" applyFont="1" applyFill="1" applyBorder="1" applyAlignment="1" quotePrefix="1">
      <alignment horizontal="left"/>
    </xf>
    <xf numFmtId="184" fontId="0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185" fontId="18" fillId="0" borderId="21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185" fontId="10" fillId="0" borderId="36" xfId="0" applyNumberFormat="1" applyFont="1" applyFill="1" applyBorder="1" applyAlignment="1" quotePrefix="1">
      <alignment horizontal="left"/>
    </xf>
    <xf numFmtId="38" fontId="24" fillId="7" borderId="43" xfId="0" applyNumberFormat="1" applyFont="1" applyFill="1" applyBorder="1" applyAlignment="1" applyProtection="1">
      <alignment/>
      <protection locked="0"/>
    </xf>
    <xf numFmtId="38" fontId="24" fillId="7" borderId="10" xfId="0" applyNumberFormat="1" applyFont="1" applyFill="1" applyBorder="1" applyAlignment="1" applyProtection="1">
      <alignment/>
      <protection locked="0"/>
    </xf>
    <xf numFmtId="0" fontId="0" fillId="5" borderId="0" xfId="0" applyFill="1" applyAlignment="1">
      <alignment horizontal="right"/>
    </xf>
    <xf numFmtId="0" fontId="0" fillId="5" borderId="0" xfId="0" applyFont="1" applyFill="1" applyBorder="1" applyAlignment="1">
      <alignment/>
    </xf>
    <xf numFmtId="0" fontId="9" fillId="3" borderId="44" xfId="0" applyFont="1" applyFill="1" applyBorder="1" applyAlignment="1" applyProtection="1">
      <alignment horizontal="left" vertical="center"/>
      <protection/>
    </xf>
    <xf numFmtId="0" fontId="0" fillId="5" borderId="0" xfId="0" applyFill="1" applyAlignment="1" applyProtection="1">
      <alignment/>
      <protection/>
    </xf>
    <xf numFmtId="0" fontId="0" fillId="5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right"/>
      <protection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8" fontId="0" fillId="0" borderId="42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37" xfId="0" applyNumberFormat="1" applyFont="1" applyFill="1" applyBorder="1" applyAlignment="1" applyProtection="1">
      <alignment/>
      <protection/>
    </xf>
    <xf numFmtId="38" fontId="0" fillId="0" borderId="4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38" fontId="0" fillId="0" borderId="22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right"/>
    </xf>
    <xf numFmtId="0" fontId="9" fillId="3" borderId="3" xfId="0" applyFont="1" applyFill="1" applyBorder="1" applyAlignment="1" applyProtection="1">
      <alignment horizontal="right"/>
      <protection/>
    </xf>
    <xf numFmtId="0" fontId="7" fillId="3" borderId="3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/>
      <protection/>
    </xf>
    <xf numFmtId="175" fontId="9" fillId="3" borderId="37" xfId="0" applyNumberFormat="1" applyFont="1" applyFill="1" applyBorder="1" applyAlignment="1" applyProtection="1">
      <alignment horizontal="right"/>
      <protection/>
    </xf>
    <xf numFmtId="49" fontId="7" fillId="3" borderId="37" xfId="0" applyNumberFormat="1" applyFont="1" applyFill="1" applyBorder="1" applyAlignment="1" applyProtection="1">
      <alignment horizontal="left"/>
      <protection locked="0"/>
    </xf>
    <xf numFmtId="175" fontId="9" fillId="3" borderId="0" xfId="0" applyNumberFormat="1" applyFont="1" applyFill="1" applyBorder="1" applyAlignment="1" applyProtection="1">
      <alignment horizontal="right"/>
      <protection/>
    </xf>
    <xf numFmtId="172" fontId="7" fillId="3" borderId="0" xfId="17" applyFont="1" applyFill="1" applyBorder="1" applyAlignment="1" applyProtection="1">
      <alignment horizontal="left"/>
      <protection locked="0"/>
    </xf>
    <xf numFmtId="0" fontId="9" fillId="3" borderId="37" xfId="0" applyFont="1" applyFill="1" applyBorder="1" applyAlignment="1" applyProtection="1">
      <alignment horizontal="left"/>
      <protection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vertical="center" wrapText="1"/>
    </xf>
    <xf numFmtId="3" fontId="0" fillId="0" borderId="0" xfId="0" applyNumberFormat="1" applyAlignment="1">
      <alignment horizontal="right" vertical="center" wrapText="1"/>
    </xf>
    <xf numFmtId="0" fontId="0" fillId="5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top" wrapText="1"/>
    </xf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Continuous" vertical="top" wrapText="1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 quotePrefix="1">
      <alignment horizontal="center"/>
      <protection locked="0"/>
    </xf>
    <xf numFmtId="0" fontId="0" fillId="0" borderId="0" xfId="0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centerContinuous"/>
      <protection/>
    </xf>
    <xf numFmtId="185" fontId="10" fillId="0" borderId="36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37" xfId="0" applyFont="1" applyBorder="1" applyAlignment="1" applyProtection="1">
      <alignment/>
      <protection/>
    </xf>
    <xf numFmtId="0" fontId="9" fillId="0" borderId="36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 horizontal="left"/>
      <protection/>
    </xf>
    <xf numFmtId="0" fontId="0" fillId="0" borderId="36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36" xfId="0" applyFont="1" applyBorder="1" applyAlignment="1" applyProtection="1" quotePrefix="1">
      <alignment horizontal="left"/>
      <protection/>
    </xf>
    <xf numFmtId="0" fontId="0" fillId="0" borderId="36" xfId="0" applyFont="1" applyBorder="1" applyAlignment="1">
      <alignment/>
    </xf>
    <xf numFmtId="177" fontId="14" fillId="0" borderId="0" xfId="0" applyNumberFormat="1" applyFont="1" applyFill="1" applyAlignment="1" applyProtection="1">
      <alignment horizontal="centerContinuous"/>
      <protection/>
    </xf>
    <xf numFmtId="196" fontId="0" fillId="0" borderId="45" xfId="0" applyNumberFormat="1" applyFont="1" applyBorder="1" applyAlignment="1">
      <alignment horizontal="centerContinuous"/>
    </xf>
    <xf numFmtId="196" fontId="15" fillId="0" borderId="42" xfId="0" applyNumberFormat="1" applyFont="1" applyBorder="1" applyAlignment="1">
      <alignment/>
    </xf>
    <xf numFmtId="196" fontId="15" fillId="0" borderId="41" xfId="0" applyNumberFormat="1" applyFont="1" applyBorder="1" applyAlignment="1">
      <alignment/>
    </xf>
    <xf numFmtId="196" fontId="5" fillId="0" borderId="41" xfId="0" applyNumberFormat="1" applyFont="1" applyBorder="1" applyAlignment="1">
      <alignment/>
    </xf>
    <xf numFmtId="196" fontId="15" fillId="0" borderId="42" xfId="0" applyNumberFormat="1" applyFont="1" applyBorder="1" applyAlignment="1">
      <alignment horizontal="centerContinuous"/>
    </xf>
    <xf numFmtId="196" fontId="0" fillId="0" borderId="0" xfId="0" applyNumberFormat="1" applyFont="1" applyAlignment="1">
      <alignment/>
    </xf>
    <xf numFmtId="196" fontId="0" fillId="0" borderId="42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185" fontId="15" fillId="0" borderId="7" xfId="0" applyNumberFormat="1" applyFont="1" applyBorder="1" applyAlignment="1">
      <alignment horizontal="left"/>
    </xf>
    <xf numFmtId="0" fontId="5" fillId="0" borderId="21" xfId="0" applyFont="1" applyBorder="1" applyAlignment="1">
      <alignment/>
    </xf>
    <xf numFmtId="0" fontId="0" fillId="0" borderId="41" xfId="0" applyFont="1" applyBorder="1" applyAlignment="1" applyProtection="1">
      <alignment/>
      <protection/>
    </xf>
    <xf numFmtId="0" fontId="10" fillId="0" borderId="7" xfId="0" applyFont="1" applyBorder="1" applyAlignment="1">
      <alignment/>
    </xf>
    <xf numFmtId="0" fontId="13" fillId="3" borderId="21" xfId="0" applyFont="1" applyFill="1" applyBorder="1" applyAlignment="1" quotePrefix="1">
      <alignment horizontal="left"/>
    </xf>
    <xf numFmtId="0" fontId="5" fillId="3" borderId="21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185" fontId="15" fillId="3" borderId="7" xfId="0" applyNumberFormat="1" applyFont="1" applyFill="1" applyBorder="1" applyAlignment="1">
      <alignment horizontal="left"/>
    </xf>
    <xf numFmtId="38" fontId="24" fillId="7" borderId="6" xfId="0" applyNumberFormat="1" applyFont="1" applyFill="1" applyBorder="1" applyAlignment="1" applyProtection="1">
      <alignment/>
      <protection locked="0"/>
    </xf>
    <xf numFmtId="196" fontId="15" fillId="3" borderId="45" xfId="0" applyNumberFormat="1" applyFont="1" applyFill="1" applyBorder="1" applyAlignment="1">
      <alignment/>
    </xf>
    <xf numFmtId="188" fontId="5" fillId="3" borderId="45" xfId="0" applyNumberFormat="1" applyFont="1" applyFill="1" applyBorder="1" applyAlignment="1">
      <alignment/>
    </xf>
    <xf numFmtId="185" fontId="5" fillId="3" borderId="21" xfId="0" applyNumberFormat="1" applyFont="1" applyFill="1" applyBorder="1" applyAlignment="1">
      <alignment horizontal="left"/>
    </xf>
    <xf numFmtId="38" fontId="5" fillId="3" borderId="24" xfId="0" applyNumberFormat="1" applyFont="1" applyFill="1" applyBorder="1" applyAlignment="1">
      <alignment/>
    </xf>
    <xf numFmtId="38" fontId="15" fillId="3" borderId="10" xfId="0" applyNumberFormat="1" applyFont="1" applyFill="1" applyBorder="1" applyAlignment="1">
      <alignment/>
    </xf>
    <xf numFmtId="196" fontId="15" fillId="3" borderId="10" xfId="0" applyNumberFormat="1" applyFont="1" applyFill="1" applyBorder="1" applyAlignment="1" applyProtection="1">
      <alignment/>
      <protection locked="0"/>
    </xf>
    <xf numFmtId="196" fontId="5" fillId="3" borderId="6" xfId="0" applyNumberFormat="1" applyFont="1" applyFill="1" applyBorder="1" applyAlignment="1" applyProtection="1">
      <alignment/>
      <protection locked="0"/>
    </xf>
    <xf numFmtId="196" fontId="5" fillId="3" borderId="45" xfId="0" applyNumberFormat="1" applyFont="1" applyFill="1" applyBorder="1" applyAlignment="1">
      <alignment/>
    </xf>
    <xf numFmtId="185" fontId="10" fillId="3" borderId="7" xfId="0" applyNumberFormat="1" applyFont="1" applyFill="1" applyBorder="1" applyAlignment="1">
      <alignment horizontal="left"/>
    </xf>
    <xf numFmtId="196" fontId="15" fillId="3" borderId="43" xfId="0" applyNumberFormat="1" applyFont="1" applyFill="1" applyBorder="1" applyAlignment="1" applyProtection="1">
      <alignment/>
      <protection locked="0"/>
    </xf>
    <xf numFmtId="38" fontId="5" fillId="3" borderId="10" xfId="0" applyNumberFormat="1" applyFont="1" applyFill="1" applyBorder="1" applyAlignment="1" applyProtection="1">
      <alignment/>
      <protection locked="0"/>
    </xf>
    <xf numFmtId="38" fontId="24" fillId="0" borderId="43" xfId="0" applyNumberFormat="1" applyFont="1" applyFill="1" applyBorder="1" applyAlignment="1" applyProtection="1">
      <alignment/>
      <protection locked="0"/>
    </xf>
    <xf numFmtId="38" fontId="24" fillId="0" borderId="10" xfId="0" applyNumberFormat="1" applyFont="1" applyFill="1" applyBorder="1" applyAlignment="1" applyProtection="1">
      <alignment/>
      <protection locked="0"/>
    </xf>
    <xf numFmtId="185" fontId="15" fillId="0" borderId="36" xfId="0" applyNumberFormat="1" applyFont="1" applyFill="1" applyBorder="1" applyAlignment="1" quotePrefix="1">
      <alignment horizontal="left"/>
    </xf>
    <xf numFmtId="185" fontId="15" fillId="0" borderId="11" xfId="0" applyNumberFormat="1" applyFont="1" applyFill="1" applyBorder="1" applyAlignment="1" quotePrefix="1">
      <alignment horizontal="left"/>
    </xf>
    <xf numFmtId="0" fontId="13" fillId="0" borderId="21" xfId="0" applyFont="1" applyFill="1" applyBorder="1" applyAlignment="1" quotePrefix="1">
      <alignment horizontal="left"/>
    </xf>
    <xf numFmtId="0" fontId="5" fillId="0" borderId="22" xfId="0" applyFont="1" applyFill="1" applyBorder="1" applyAlignment="1">
      <alignment horizontal="center"/>
    </xf>
    <xf numFmtId="185" fontId="15" fillId="0" borderId="21" xfId="0" applyNumberFormat="1" applyFont="1" applyFill="1" applyBorder="1" applyAlignment="1" quotePrefix="1">
      <alignment horizontal="left"/>
    </xf>
    <xf numFmtId="185" fontId="5" fillId="0" borderId="21" xfId="0" applyNumberFormat="1" applyFont="1" applyFill="1" applyBorder="1" applyAlignment="1" quotePrefix="1">
      <alignment horizontal="left"/>
    </xf>
    <xf numFmtId="185" fontId="5" fillId="0" borderId="11" xfId="0" applyNumberFormat="1" applyFont="1" applyFill="1" applyBorder="1" applyAlignment="1" quotePrefix="1">
      <alignment horizontal="left"/>
    </xf>
    <xf numFmtId="0" fontId="5" fillId="0" borderId="24" xfId="0" applyFont="1" applyFill="1" applyBorder="1" applyAlignment="1">
      <alignment horizontal="center"/>
    </xf>
    <xf numFmtId="196" fontId="15" fillId="0" borderId="43" xfId="0" applyNumberFormat="1" applyFont="1" applyFill="1" applyBorder="1" applyAlignment="1" quotePrefix="1">
      <alignment horizontal="right"/>
    </xf>
    <xf numFmtId="196" fontId="15" fillId="0" borderId="10" xfId="0" applyNumberFormat="1" applyFont="1" applyFill="1" applyBorder="1" applyAlignment="1" quotePrefix="1">
      <alignment horizontal="right"/>
    </xf>
    <xf numFmtId="196" fontId="5" fillId="0" borderId="24" xfId="0" applyNumberFormat="1" applyFont="1" applyFill="1" applyBorder="1" applyAlignment="1" quotePrefix="1">
      <alignment horizontal="right"/>
    </xf>
    <xf numFmtId="196" fontId="15" fillId="0" borderId="24" xfId="0" applyNumberFormat="1" applyFont="1" applyFill="1" applyBorder="1" applyAlignment="1" quotePrefix="1">
      <alignment horizontal="right"/>
    </xf>
    <xf numFmtId="196" fontId="5" fillId="0" borderId="10" xfId="0" applyNumberFormat="1" applyFont="1" applyFill="1" applyBorder="1" applyAlignment="1" quotePrefix="1">
      <alignment horizontal="right"/>
    </xf>
    <xf numFmtId="188" fontId="15" fillId="3" borderId="45" xfId="0" applyNumberFormat="1" applyFont="1" applyFill="1" applyBorder="1" applyAlignment="1">
      <alignment/>
    </xf>
    <xf numFmtId="188" fontId="5" fillId="3" borderId="22" xfId="0" applyNumberFormat="1" applyFont="1" applyFill="1" applyBorder="1" applyAlignment="1">
      <alignment/>
    </xf>
    <xf numFmtId="0" fontId="5" fillId="3" borderId="21" xfId="0" applyFont="1" applyFill="1" applyBorder="1" applyAlignment="1" applyProtection="1">
      <alignment horizontal="center"/>
      <protection/>
    </xf>
    <xf numFmtId="38" fontId="5" fillId="3" borderId="24" xfId="0" applyNumberFormat="1" applyFont="1" applyFill="1" applyBorder="1" applyAlignment="1" applyProtection="1">
      <alignment/>
      <protection/>
    </xf>
    <xf numFmtId="38" fontId="5" fillId="3" borderId="10" xfId="0" applyNumberFormat="1" applyFont="1" applyFill="1" applyBorder="1" applyAlignment="1" applyProtection="1">
      <alignment/>
      <protection/>
    </xf>
    <xf numFmtId="38" fontId="6" fillId="3" borderId="6" xfId="0" applyNumberFormat="1" applyFont="1" applyFill="1" applyBorder="1" applyAlignment="1" applyProtection="1">
      <alignment/>
      <protection/>
    </xf>
    <xf numFmtId="185" fontId="16" fillId="0" borderId="7" xfId="0" applyNumberFormat="1" applyFont="1" applyBorder="1" applyAlignment="1" quotePrefix="1">
      <alignment horizontal="left"/>
    </xf>
    <xf numFmtId="184" fontId="5" fillId="0" borderId="45" xfId="0" applyNumberFormat="1" applyFont="1" applyBorder="1" applyAlignment="1">
      <alignment/>
    </xf>
    <xf numFmtId="188" fontId="17" fillId="0" borderId="42" xfId="17" applyNumberFormat="1" applyFont="1" applyBorder="1" applyAlignment="1">
      <alignment horizontal="right"/>
    </xf>
    <xf numFmtId="0" fontId="15" fillId="0" borderId="36" xfId="0" applyFont="1" applyBorder="1" applyAlignment="1" quotePrefix="1">
      <alignment horizontal="left"/>
    </xf>
    <xf numFmtId="183" fontId="17" fillId="0" borderId="42" xfId="0" applyNumberFormat="1" applyFont="1" applyBorder="1" applyAlignment="1">
      <alignment/>
    </xf>
    <xf numFmtId="188" fontId="17" fillId="0" borderId="41" xfId="17" applyNumberFormat="1" applyFont="1" applyBorder="1" applyAlignment="1">
      <alignment horizontal="right"/>
    </xf>
    <xf numFmtId="0" fontId="7" fillId="0" borderId="15" xfId="0" applyFont="1" applyBorder="1" applyAlignment="1" applyProtection="1">
      <alignment horizontal="left"/>
      <protection locked="0"/>
    </xf>
    <xf numFmtId="188" fontId="15" fillId="0" borderId="42" xfId="0" applyNumberFormat="1" applyFont="1" applyFill="1" applyBorder="1" applyAlignment="1" quotePrefix="1">
      <alignment horizontal="right"/>
    </xf>
    <xf numFmtId="188" fontId="15" fillId="0" borderId="41" xfId="0" applyNumberFormat="1" applyFont="1" applyFill="1" applyBorder="1" applyAlignment="1" quotePrefix="1">
      <alignment horizontal="right"/>
    </xf>
    <xf numFmtId="188" fontId="5" fillId="0" borderId="22" xfId="0" applyNumberFormat="1" applyFont="1" applyFill="1" applyBorder="1" applyAlignment="1" quotePrefix="1">
      <alignment horizontal="right"/>
    </xf>
    <xf numFmtId="188" fontId="15" fillId="0" borderId="22" xfId="0" applyNumberFormat="1" applyFont="1" applyFill="1" applyBorder="1" applyAlignment="1" quotePrefix="1">
      <alignment horizontal="right"/>
    </xf>
    <xf numFmtId="188" fontId="5" fillId="0" borderId="41" xfId="0" applyNumberFormat="1" applyFont="1" applyFill="1" applyBorder="1" applyAlignment="1" quotePrefix="1">
      <alignment horizontal="right"/>
    </xf>
    <xf numFmtId="177" fontId="13" fillId="0" borderId="0" xfId="0" applyNumberFormat="1" applyFont="1" applyBorder="1" applyAlignment="1">
      <alignment horizontal="centerContinuous"/>
    </xf>
    <xf numFmtId="177" fontId="0" fillId="0" borderId="0" xfId="0" applyNumberFormat="1" applyFont="1" applyAlignment="1">
      <alignment/>
    </xf>
    <xf numFmtId="177" fontId="9" fillId="0" borderId="46" xfId="0" applyNumberFormat="1" applyFont="1" applyBorder="1" applyAlignment="1">
      <alignment/>
    </xf>
    <xf numFmtId="177" fontId="9" fillId="0" borderId="47" xfId="0" applyNumberFormat="1" applyFont="1" applyBorder="1" applyAlignment="1">
      <alignment/>
    </xf>
    <xf numFmtId="177" fontId="9" fillId="0" borderId="48" xfId="0" applyNumberFormat="1" applyFont="1" applyBorder="1" applyAlignment="1">
      <alignment/>
    </xf>
    <xf numFmtId="177" fontId="0" fillId="0" borderId="49" xfId="0" applyNumberFormat="1" applyFont="1" applyBorder="1" applyAlignment="1">
      <alignment/>
    </xf>
    <xf numFmtId="177" fontId="0" fillId="0" borderId="50" xfId="0" applyNumberFormat="1" applyFont="1" applyBorder="1" applyAlignment="1">
      <alignment/>
    </xf>
    <xf numFmtId="177" fontId="0" fillId="0" borderId="51" xfId="0" applyNumberFormat="1" applyFont="1" applyBorder="1" applyAlignment="1">
      <alignment/>
    </xf>
    <xf numFmtId="177" fontId="0" fillId="0" borderId="50" xfId="0" applyNumberFormat="1" applyFont="1" applyBorder="1" applyAlignment="1">
      <alignment/>
    </xf>
    <xf numFmtId="177" fontId="0" fillId="0" borderId="51" xfId="0" applyNumberFormat="1" applyFont="1" applyBorder="1" applyAlignment="1">
      <alignment/>
    </xf>
    <xf numFmtId="177" fontId="0" fillId="0" borderId="52" xfId="0" applyNumberFormat="1" applyFont="1" applyBorder="1" applyAlignment="1">
      <alignment/>
    </xf>
    <xf numFmtId="177" fontId="0" fillId="0" borderId="53" xfId="0" applyNumberFormat="1" applyFont="1" applyBorder="1" applyAlignment="1">
      <alignment/>
    </xf>
    <xf numFmtId="177" fontId="0" fillId="0" borderId="54" xfId="0" applyNumberFormat="1" applyFont="1" applyBorder="1" applyAlignment="1">
      <alignment/>
    </xf>
    <xf numFmtId="177" fontId="0" fillId="0" borderId="53" xfId="0" applyNumberFormat="1" applyFont="1" applyBorder="1" applyAlignment="1">
      <alignment/>
    </xf>
    <xf numFmtId="177" fontId="0" fillId="0" borderId="54" xfId="0" applyNumberFormat="1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8" fillId="0" borderId="0" xfId="0" applyFont="1" applyAlignment="1">
      <alignment/>
    </xf>
    <xf numFmtId="0" fontId="0" fillId="0" borderId="37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21" xfId="0" applyFont="1" applyBorder="1" applyAlignment="1" quotePrefix="1">
      <alignment horizontal="left"/>
    </xf>
    <xf numFmtId="196" fontId="5" fillId="0" borderId="22" xfId="0" applyNumberFormat="1" applyFont="1" applyBorder="1" applyAlignment="1">
      <alignment/>
    </xf>
    <xf numFmtId="196" fontId="15" fillId="0" borderId="45" xfId="0" applyNumberFormat="1" applyFont="1" applyBorder="1" applyAlignment="1">
      <alignment/>
    </xf>
    <xf numFmtId="196" fontId="0" fillId="0" borderId="45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15" fillId="0" borderId="21" xfId="0" applyFont="1" applyBorder="1" applyAlignment="1">
      <alignment/>
    </xf>
    <xf numFmtId="196" fontId="15" fillId="0" borderId="22" xfId="0" applyNumberFormat="1" applyFont="1" applyBorder="1" applyAlignment="1">
      <alignment/>
    </xf>
    <xf numFmtId="0" fontId="17" fillId="0" borderId="36" xfId="0" applyFont="1" applyBorder="1" applyAlignment="1">
      <alignment/>
    </xf>
    <xf numFmtId="0" fontId="18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177" fontId="13" fillId="0" borderId="0" xfId="0" applyNumberFormat="1" applyFont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 quotePrefix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2" fillId="0" borderId="0" xfId="0" applyFont="1" applyBorder="1" applyAlignment="1">
      <alignment vertical="top" wrapText="1"/>
    </xf>
    <xf numFmtId="202" fontId="26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NumberForma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201" fontId="12" fillId="0" borderId="0" xfId="0" applyNumberFormat="1" applyFont="1" applyBorder="1" applyAlignment="1">
      <alignment horizontal="left" vertical="center" wrapText="1"/>
    </xf>
    <xf numFmtId="3" fontId="21" fillId="0" borderId="0" xfId="0" applyNumberFormat="1" applyFont="1" applyBorder="1" applyAlignment="1" quotePrefix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0" fillId="0" borderId="0" xfId="0" applyNumberForma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wrapText="1"/>
    </xf>
    <xf numFmtId="0" fontId="15" fillId="0" borderId="0" xfId="0" applyFont="1" applyFill="1" applyAlignment="1">
      <alignment horizontal="left"/>
    </xf>
    <xf numFmtId="0" fontId="14" fillId="0" borderId="55" xfId="0" applyFont="1" applyFill="1" applyBorder="1" applyAlignment="1" quotePrefix="1">
      <alignment horizontal="left" vertical="top"/>
    </xf>
    <xf numFmtId="0" fontId="0" fillId="0" borderId="55" xfId="0" applyFill="1" applyBorder="1" applyAlignment="1">
      <alignment/>
    </xf>
    <xf numFmtId="0" fontId="0" fillId="0" borderId="55" xfId="0" applyFill="1" applyBorder="1" applyAlignment="1" applyProtection="1">
      <alignment/>
      <protection locked="0"/>
    </xf>
    <xf numFmtId="0" fontId="0" fillId="0" borderId="55" xfId="0" applyFill="1" applyBorder="1" applyAlignment="1">
      <alignment horizontal="right"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 horizontal="right"/>
    </xf>
    <xf numFmtId="0" fontId="0" fillId="0" borderId="5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60" xfId="0" applyFill="1" applyBorder="1" applyAlignment="1">
      <alignment horizontal="right"/>
    </xf>
    <xf numFmtId="0" fontId="0" fillId="0" borderId="61" xfId="0" applyFill="1" applyBorder="1" applyAlignment="1">
      <alignment/>
    </xf>
    <xf numFmtId="0" fontId="12" fillId="0" borderId="55" xfId="0" applyFont="1" applyFill="1" applyBorder="1" applyAlignment="1">
      <alignment horizontal="right"/>
    </xf>
    <xf numFmtId="1" fontId="12" fillId="0" borderId="62" xfId="0" applyNumberFormat="1" applyFont="1" applyFill="1" applyBorder="1" applyAlignment="1">
      <alignment horizontal="left"/>
    </xf>
    <xf numFmtId="0" fontId="15" fillId="0" borderId="56" xfId="0" applyFont="1" applyFill="1" applyBorder="1" applyAlignment="1">
      <alignment/>
    </xf>
    <xf numFmtId="0" fontId="15" fillId="0" borderId="5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12" fillId="0" borderId="6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5" fillId="0" borderId="61" xfId="0" applyFont="1" applyFill="1" applyBorder="1" applyAlignment="1">
      <alignment/>
    </xf>
    <xf numFmtId="0" fontId="0" fillId="0" borderId="62" xfId="0" applyFill="1" applyBorder="1" applyAlignment="1">
      <alignment horizontal="right"/>
    </xf>
    <xf numFmtId="0" fontId="9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horizontal="right"/>
    </xf>
    <xf numFmtId="177" fontId="0" fillId="0" borderId="0" xfId="0" applyNumberFormat="1" applyFill="1" applyAlignment="1">
      <alignment horizontal="left"/>
    </xf>
    <xf numFmtId="177" fontId="9" fillId="0" borderId="0" xfId="0" applyNumberFormat="1" applyFont="1" applyFill="1" applyAlignment="1" quotePrefix="1">
      <alignment horizontal="center" vertical="center"/>
    </xf>
    <xf numFmtId="177" fontId="0" fillId="0" borderId="0" xfId="0" applyNumberFormat="1" applyFill="1" applyAlignment="1">
      <alignment horizontal="center"/>
    </xf>
    <xf numFmtId="177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/>
    </xf>
    <xf numFmtId="172" fontId="9" fillId="3" borderId="0" xfId="17" applyFont="1" applyFill="1" applyBorder="1" applyAlignment="1" applyProtection="1">
      <alignment horizontal="right"/>
      <protection/>
    </xf>
    <xf numFmtId="172" fontId="7" fillId="3" borderId="0" xfId="17" applyFont="1" applyFill="1" applyBorder="1" applyAlignment="1" applyProtection="1">
      <alignment horizontal="left"/>
      <protection/>
    </xf>
    <xf numFmtId="172" fontId="31" fillId="0" borderId="0" xfId="17" applyFont="1" applyFill="1" applyBorder="1" applyAlignment="1" applyProtection="1">
      <alignment horizontal="right"/>
      <protection locked="0"/>
    </xf>
    <xf numFmtId="0" fontId="31" fillId="0" borderId="0" xfId="0" applyFont="1" applyAlignment="1">
      <alignment/>
    </xf>
    <xf numFmtId="0" fontId="7" fillId="0" borderId="15" xfId="0" applyFont="1" applyBorder="1" applyAlignment="1" applyProtection="1" quotePrefix="1">
      <alignment horizontal="left"/>
      <protection locked="0"/>
    </xf>
    <xf numFmtId="177" fontId="7" fillId="0" borderId="15" xfId="0" applyNumberFormat="1" applyFont="1" applyBorder="1" applyAlignment="1" applyProtection="1" quotePrefix="1">
      <alignment horizontal="left"/>
      <protection locked="0"/>
    </xf>
    <xf numFmtId="180" fontId="7" fillId="0" borderId="63" xfId="0" applyNumberFormat="1" applyFont="1" applyBorder="1" applyAlignment="1" applyProtection="1">
      <alignment/>
      <protection locked="0"/>
    </xf>
    <xf numFmtId="177" fontId="7" fillId="0" borderId="43" xfId="0" applyNumberFormat="1" applyFont="1" applyBorder="1" applyAlignment="1" applyProtection="1">
      <alignment/>
      <protection locked="0"/>
    </xf>
    <xf numFmtId="177" fontId="7" fillId="0" borderId="36" xfId="0" applyNumberFormat="1" applyFont="1" applyBorder="1" applyAlignment="1" applyProtection="1">
      <alignment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8" fillId="0" borderId="43" xfId="0" applyFont="1" applyBorder="1" applyAlignment="1" applyProtection="1">
      <alignment/>
      <protection/>
    </xf>
    <xf numFmtId="175" fontId="7" fillId="0" borderId="43" xfId="0" applyNumberFormat="1" applyFont="1" applyBorder="1" applyAlignment="1" applyProtection="1">
      <alignment/>
      <protection locked="0"/>
    </xf>
    <xf numFmtId="175" fontId="7" fillId="4" borderId="64" xfId="0" applyNumberFormat="1" applyFont="1" applyFill="1" applyBorder="1" applyAlignment="1" applyProtection="1">
      <alignment/>
      <protection locked="0"/>
    </xf>
    <xf numFmtId="180" fontId="7" fillId="0" borderId="65" xfId="0" applyNumberFormat="1" applyFont="1" applyBorder="1" applyAlignment="1" applyProtection="1">
      <alignment/>
      <protection locked="0"/>
    </xf>
    <xf numFmtId="177" fontId="7" fillId="0" borderId="66" xfId="0" applyNumberFormat="1" applyFont="1" applyBorder="1" applyAlignment="1" applyProtection="1">
      <alignment/>
      <protection locked="0"/>
    </xf>
    <xf numFmtId="177" fontId="7" fillId="0" borderId="46" xfId="0" applyNumberFormat="1" applyFont="1" applyBorder="1" applyAlignment="1" applyProtection="1">
      <alignment/>
      <protection locked="0"/>
    </xf>
    <xf numFmtId="0" fontId="7" fillId="0" borderId="66" xfId="0" applyFont="1" applyBorder="1" applyAlignment="1" applyProtection="1">
      <alignment horizontal="center"/>
      <protection locked="0"/>
    </xf>
    <xf numFmtId="0" fontId="8" fillId="0" borderId="66" xfId="0" applyFont="1" applyBorder="1" applyAlignment="1" applyProtection="1">
      <alignment/>
      <protection/>
    </xf>
    <xf numFmtId="175" fontId="7" fillId="0" borderId="66" xfId="0" applyNumberFormat="1" applyFont="1" applyBorder="1" applyAlignment="1" applyProtection="1">
      <alignment/>
      <protection locked="0"/>
    </xf>
    <xf numFmtId="175" fontId="7" fillId="4" borderId="67" xfId="0" applyNumberFormat="1" applyFont="1" applyFill="1" applyBorder="1" applyAlignment="1" applyProtection="1">
      <alignment/>
      <protection locked="0"/>
    </xf>
    <xf numFmtId="175" fontId="0" fillId="0" borderId="14" xfId="0" applyNumberFormat="1" applyFont="1" applyBorder="1" applyAlignment="1" applyProtection="1">
      <alignment/>
      <protection/>
    </xf>
    <xf numFmtId="175" fontId="0" fillId="0" borderId="43" xfId="0" applyNumberFormat="1" applyFont="1" applyBorder="1" applyAlignment="1" applyProtection="1">
      <alignment/>
      <protection/>
    </xf>
    <xf numFmtId="175" fontId="0" fillId="0" borderId="66" xfId="0" applyNumberFormat="1" applyFont="1" applyBorder="1" applyAlignment="1" applyProtection="1">
      <alignment/>
      <protection/>
    </xf>
    <xf numFmtId="175" fontId="0" fillId="0" borderId="10" xfId="0" applyNumberFormat="1" applyFont="1" applyBorder="1" applyAlignment="1" applyProtection="1">
      <alignment/>
      <protection/>
    </xf>
    <xf numFmtId="0" fontId="9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177" fontId="0" fillId="0" borderId="68" xfId="0" applyNumberFormat="1" applyFill="1" applyBorder="1" applyAlignment="1">
      <alignment horizontal="right" vertical="center"/>
    </xf>
    <xf numFmtId="177" fontId="0" fillId="0" borderId="69" xfId="0" applyNumberFormat="1" applyBorder="1" applyAlignment="1">
      <alignment horizontal="right" vertical="center"/>
    </xf>
    <xf numFmtId="0" fontId="9" fillId="0" borderId="0" xfId="0" applyFont="1" applyFill="1" applyAlignment="1" quotePrefix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9" fillId="0" borderId="0" xfId="0" applyFont="1" applyFill="1" applyBorder="1" applyAlignment="1" quotePrefix="1">
      <alignment horizontal="left" vertical="top" wrapText="1"/>
    </xf>
    <xf numFmtId="0" fontId="0" fillId="0" borderId="0" xfId="0" applyBorder="1" applyAlignment="1">
      <alignment vertical="top"/>
    </xf>
    <xf numFmtId="177" fontId="0" fillId="0" borderId="56" xfId="0" applyNumberFormat="1" applyFill="1" applyBorder="1" applyAlignment="1">
      <alignment horizontal="right" vertical="center"/>
    </xf>
    <xf numFmtId="177" fontId="0" fillId="0" borderId="58" xfId="0" applyNumberFormat="1" applyBorder="1" applyAlignment="1">
      <alignment horizontal="right" vertical="center"/>
    </xf>
    <xf numFmtId="177" fontId="0" fillId="0" borderId="61" xfId="0" applyNumberFormat="1" applyBorder="1" applyAlignment="1">
      <alignment/>
    </xf>
    <xf numFmtId="177" fontId="0" fillId="0" borderId="62" xfId="0" applyNumberFormat="1" applyBorder="1" applyAlignment="1">
      <alignment/>
    </xf>
  </cellXfs>
  <cellStyles count="8">
    <cellStyle name="Normal" xfId="0"/>
    <cellStyle name="Benyttet hyperkobling" xfId="15"/>
    <cellStyle name="Hyperkobling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7</xdr:col>
      <xdr:colOff>28575</xdr:colOff>
      <xdr:row>2</xdr:row>
      <xdr:rowOff>66675</xdr:rowOff>
    </xdr:to>
    <xdr:sp>
      <xdr:nvSpPr>
        <xdr:cNvPr id="1" name="Rectangle 3"/>
        <xdr:cNvSpPr>
          <a:spLocks/>
        </xdr:cNvSpPr>
      </xdr:nvSpPr>
      <xdr:spPr>
        <a:xfrm>
          <a:off x="9525" y="352425"/>
          <a:ext cx="5467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447675</xdr:rowOff>
    </xdr:from>
    <xdr:to>
      <xdr:col>4</xdr:col>
      <xdr:colOff>0</xdr:colOff>
      <xdr:row>3</xdr:row>
      <xdr:rowOff>114300</xdr:rowOff>
    </xdr:to>
    <xdr:sp>
      <xdr:nvSpPr>
        <xdr:cNvPr id="1" name="Rectangle 4"/>
        <xdr:cNvSpPr>
          <a:spLocks/>
        </xdr:cNvSpPr>
      </xdr:nvSpPr>
      <xdr:spPr>
        <a:xfrm>
          <a:off x="0" y="447675"/>
          <a:ext cx="32956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781050</xdr:colOff>
      <xdr:row>7</xdr:row>
      <xdr:rowOff>19050</xdr:rowOff>
    </xdr:from>
    <xdr:to>
      <xdr:col>4</xdr:col>
      <xdr:colOff>0</xdr:colOff>
      <xdr:row>8</xdr:row>
      <xdr:rowOff>9525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705100" y="1819275"/>
          <a:ext cx="590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</xdr:row>
      <xdr:rowOff>0</xdr:rowOff>
    </xdr:from>
    <xdr:to>
      <xdr:col>11</xdr:col>
      <xdr:colOff>371475</xdr:colOff>
      <xdr:row>8</xdr:row>
      <xdr:rowOff>9525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057775" y="1800225"/>
          <a:ext cx="1504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CM318"/>
  <sheetViews>
    <sheetView showGridLines="0" tabSelected="1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2" sqref="C2"/>
    </sheetView>
  </sheetViews>
  <sheetFormatPr defaultColWidth="11.421875" defaultRowHeight="12.75"/>
  <cols>
    <col min="1" max="1" width="6.7109375" style="113" customWidth="1"/>
    <col min="2" max="2" width="5.57421875" style="113" customWidth="1"/>
    <col min="3" max="3" width="23.8515625" style="113" customWidth="1"/>
    <col min="4" max="4" width="8.28125" style="132" customWidth="1"/>
    <col min="5" max="5" width="19.421875" style="113" customWidth="1"/>
    <col min="6" max="6" width="6.421875" style="133" customWidth="1"/>
    <col min="7" max="8" width="12.7109375" style="134" customWidth="1"/>
    <col min="9" max="11" width="13.7109375" style="134" customWidth="1"/>
    <col min="12" max="12" width="13.7109375" style="134" hidden="1" customWidth="1"/>
    <col min="13" max="14" width="14.8515625" style="134" hidden="1" customWidth="1"/>
    <col min="15" max="15" width="9.8515625" style="113" hidden="1" customWidth="1"/>
    <col min="16" max="32" width="14.7109375" style="113" hidden="1" customWidth="1"/>
    <col min="33" max="33" width="11.421875" style="63" hidden="1" customWidth="1"/>
    <col min="34" max="72" width="14.7109375" style="113" hidden="1" customWidth="1"/>
    <col min="73" max="73" width="9.140625" style="113" hidden="1" customWidth="1"/>
    <col min="74" max="86" width="9.140625" style="113" customWidth="1"/>
    <col min="87" max="87" width="6.421875" style="113" customWidth="1"/>
    <col min="88" max="16384" width="9.140625" style="113" customWidth="1"/>
  </cols>
  <sheetData>
    <row r="1" spans="1:79" s="72" customFormat="1" ht="46.5" customHeight="1" thickBot="1">
      <c r="A1" s="178"/>
      <c r="B1" s="178"/>
      <c r="C1" s="178"/>
      <c r="D1" s="179"/>
      <c r="E1" s="178"/>
      <c r="F1" s="180"/>
      <c r="G1" s="181"/>
      <c r="H1" s="182"/>
      <c r="I1" s="183"/>
      <c r="J1" s="183"/>
      <c r="K1" s="183"/>
      <c r="L1" s="183"/>
      <c r="M1" s="183"/>
      <c r="N1" s="183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78"/>
      <c r="AQ1" s="178"/>
      <c r="AR1" s="178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</row>
    <row r="2" spans="1:79" s="72" customFormat="1" ht="15" customHeight="1">
      <c r="A2" s="250"/>
      <c r="B2" s="273" t="s">
        <v>0</v>
      </c>
      <c r="C2" s="274"/>
      <c r="D2" s="273" t="s">
        <v>1</v>
      </c>
      <c r="E2" s="274"/>
      <c r="F2" s="275"/>
      <c r="G2" s="275"/>
      <c r="H2" s="275"/>
      <c r="I2" s="199"/>
      <c r="J2" s="199"/>
      <c r="K2" s="73"/>
      <c r="L2" s="200"/>
      <c r="M2" s="199"/>
      <c r="N2" s="200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78"/>
      <c r="AQ2" s="178"/>
      <c r="AR2" s="178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</row>
    <row r="3" spans="1:47" s="74" customFormat="1" ht="15" customHeight="1">
      <c r="A3" s="198"/>
      <c r="B3" s="276" t="s">
        <v>2</v>
      </c>
      <c r="C3" s="277"/>
      <c r="D3" s="278" t="s">
        <v>3</v>
      </c>
      <c r="E3" s="279">
        <v>0.25</v>
      </c>
      <c r="F3" s="280"/>
      <c r="G3" s="466"/>
      <c r="H3" s="467"/>
      <c r="I3" s="194"/>
      <c r="J3" s="195"/>
      <c r="K3" s="197"/>
      <c r="L3" s="196"/>
      <c r="M3" s="195"/>
      <c r="N3" s="196"/>
      <c r="P3" s="309"/>
      <c r="AF3" s="309"/>
      <c r="AG3" s="71"/>
      <c r="AP3" s="71"/>
      <c r="AQ3" s="71"/>
      <c r="AR3" s="71"/>
      <c r="AU3" s="309"/>
    </row>
    <row r="4" spans="1:71" s="88" customFormat="1" ht="15" customHeight="1">
      <c r="A4" s="75"/>
      <c r="B4" s="76" t="s">
        <v>5</v>
      </c>
      <c r="C4" s="77"/>
      <c r="D4" s="78"/>
      <c r="E4" s="79"/>
      <c r="F4" s="80" t="s">
        <v>6</v>
      </c>
      <c r="G4" s="81" t="s">
        <v>7</v>
      </c>
      <c r="H4" s="82"/>
      <c r="I4" s="83" t="s">
        <v>8</v>
      </c>
      <c r="J4" s="84">
        <v>2700</v>
      </c>
      <c r="K4" s="84">
        <v>2710</v>
      </c>
      <c r="L4" s="85">
        <v>2720</v>
      </c>
      <c r="M4" s="86" t="s">
        <v>9</v>
      </c>
      <c r="N4" s="87" t="s">
        <v>9</v>
      </c>
      <c r="P4" s="304" t="s">
        <v>10</v>
      </c>
      <c r="X4" s="88" t="s">
        <v>11</v>
      </c>
      <c r="AC4" s="89"/>
      <c r="AD4" s="89"/>
      <c r="AE4" s="89"/>
      <c r="AF4" s="304" t="s">
        <v>12</v>
      </c>
      <c r="AL4" s="89"/>
      <c r="AU4" s="309" t="s">
        <v>13</v>
      </c>
      <c r="AY4" s="171" t="s">
        <v>14</v>
      </c>
      <c r="BS4" s="71" t="s">
        <v>15</v>
      </c>
    </row>
    <row r="5" spans="1:70" s="88" customFormat="1" ht="15" customHeight="1">
      <c r="A5" s="90" t="s">
        <v>16</v>
      </c>
      <c r="B5" s="91" t="s">
        <v>17</v>
      </c>
      <c r="C5" s="92" t="s">
        <v>18</v>
      </c>
      <c r="D5" s="93" t="s">
        <v>19</v>
      </c>
      <c r="E5" s="94" t="s">
        <v>20</v>
      </c>
      <c r="F5" s="95" t="s">
        <v>21</v>
      </c>
      <c r="G5" s="96" t="s">
        <v>22</v>
      </c>
      <c r="H5" s="97" t="s">
        <v>23</v>
      </c>
      <c r="I5" s="96" t="s">
        <v>24</v>
      </c>
      <c r="J5" s="98" t="s">
        <v>26</v>
      </c>
      <c r="K5" s="98" t="s">
        <v>25</v>
      </c>
      <c r="L5" s="99" t="s">
        <v>27</v>
      </c>
      <c r="M5" s="100" t="s">
        <v>28</v>
      </c>
      <c r="N5" s="101" t="s">
        <v>29</v>
      </c>
      <c r="P5" s="310" t="s">
        <v>30</v>
      </c>
      <c r="Q5" s="102" t="s">
        <v>31</v>
      </c>
      <c r="R5" s="102" t="s">
        <v>32</v>
      </c>
      <c r="S5" s="74" t="s">
        <v>33</v>
      </c>
      <c r="T5" s="102" t="s">
        <v>34</v>
      </c>
      <c r="U5" s="102" t="s">
        <v>35</v>
      </c>
      <c r="V5" s="102" t="s">
        <v>36</v>
      </c>
      <c r="W5" s="74" t="s">
        <v>37</v>
      </c>
      <c r="X5" s="74" t="s">
        <v>38</v>
      </c>
      <c r="Y5" s="74" t="s">
        <v>39</v>
      </c>
      <c r="Z5" s="89" t="s">
        <v>40</v>
      </c>
      <c r="AA5" s="102" t="s">
        <v>41</v>
      </c>
      <c r="AB5" s="102" t="s">
        <v>42</v>
      </c>
      <c r="AC5" s="102" t="s">
        <v>43</v>
      </c>
      <c r="AD5" s="102" t="s">
        <v>44</v>
      </c>
      <c r="AE5" s="102" t="s">
        <v>45</v>
      </c>
      <c r="AF5" s="305" t="s">
        <v>46</v>
      </c>
      <c r="AG5" s="102" t="s">
        <v>47</v>
      </c>
      <c r="AH5" s="102" t="s">
        <v>48</v>
      </c>
      <c r="AI5" s="74" t="s">
        <v>49</v>
      </c>
      <c r="AJ5" s="89" t="s">
        <v>50</v>
      </c>
      <c r="AK5" s="74" t="s">
        <v>51</v>
      </c>
      <c r="AL5" s="102" t="s">
        <v>52</v>
      </c>
      <c r="AM5" s="89" t="s">
        <v>53</v>
      </c>
      <c r="AN5" s="89" t="s">
        <v>54</v>
      </c>
      <c r="AO5" s="74" t="s">
        <v>55</v>
      </c>
      <c r="AP5" s="168" t="s">
        <v>56</v>
      </c>
      <c r="AQ5" s="168" t="s">
        <v>57</v>
      </c>
      <c r="AR5" s="74" t="s">
        <v>58</v>
      </c>
      <c r="AS5" s="74" t="s">
        <v>44</v>
      </c>
      <c r="AT5" s="74" t="s">
        <v>59</v>
      </c>
      <c r="AU5" s="311" t="s">
        <v>60</v>
      </c>
      <c r="AV5" s="74" t="s">
        <v>61</v>
      </c>
      <c r="AW5" s="74" t="s">
        <v>62</v>
      </c>
      <c r="AX5" s="74" t="s">
        <v>63</v>
      </c>
      <c r="AY5" s="74">
        <f>Kontoplan!P3</f>
        <v>15000</v>
      </c>
      <c r="AZ5" s="74">
        <f>+AY5+1</f>
        <v>15001</v>
      </c>
      <c r="BA5" s="74">
        <f aca="true" t="shared" si="0" ref="BA5:BF5">+AZ5+1</f>
        <v>15002</v>
      </c>
      <c r="BB5" s="74">
        <f t="shared" si="0"/>
        <v>15003</v>
      </c>
      <c r="BC5" s="74">
        <f t="shared" si="0"/>
        <v>15004</v>
      </c>
      <c r="BD5" s="74">
        <f>+BC5+1</f>
        <v>15005</v>
      </c>
      <c r="BE5" s="74">
        <f t="shared" si="0"/>
        <v>15006</v>
      </c>
      <c r="BF5" s="74">
        <f t="shared" si="0"/>
        <v>15007</v>
      </c>
      <c r="BG5" s="74">
        <f>+BF5+1</f>
        <v>15008</v>
      </c>
      <c r="BH5" s="74">
        <f>+BG5+1</f>
        <v>15009</v>
      </c>
      <c r="BI5" s="171">
        <f>Kontoplan!P4</f>
        <v>24000</v>
      </c>
      <c r="BJ5" s="171">
        <f>+BI5+1</f>
        <v>24001</v>
      </c>
      <c r="BK5" s="171">
        <f aca="true" t="shared" si="1" ref="BK5:BQ5">+BJ5+1</f>
        <v>24002</v>
      </c>
      <c r="BL5" s="171">
        <f t="shared" si="1"/>
        <v>24003</v>
      </c>
      <c r="BM5" s="171">
        <f t="shared" si="1"/>
        <v>24004</v>
      </c>
      <c r="BN5" s="171">
        <f t="shared" si="1"/>
        <v>24005</v>
      </c>
      <c r="BO5" s="171">
        <f>+BN5+1</f>
        <v>24006</v>
      </c>
      <c r="BP5" s="171">
        <f t="shared" si="1"/>
        <v>24007</v>
      </c>
      <c r="BQ5" s="171">
        <f t="shared" si="1"/>
        <v>24008</v>
      </c>
      <c r="BR5" s="171">
        <f>+BQ5+1</f>
        <v>24009</v>
      </c>
    </row>
    <row r="6" spans="1:91" s="112" customFormat="1" ht="15">
      <c r="A6" s="103"/>
      <c r="B6" s="104"/>
      <c r="C6" s="105"/>
      <c r="D6" s="106"/>
      <c r="E6" s="107">
        <f aca="true" t="shared" si="2" ref="E6:E31">IF(kontonr="","",VLOOKUP(kontonr,kontoplan,2))</f>
      </c>
      <c r="F6" s="108">
        <f>IF(kontonr="","",VLOOKUP(kontonr,kontoplan,3))</f>
      </c>
      <c r="G6" s="109"/>
      <c r="H6" s="110"/>
      <c r="I6" s="486">
        <f>+debet-kredit-imva-invavg-umva</f>
        <v>0</v>
      </c>
      <c r="J6" s="486">
        <f aca="true" t="shared" si="3" ref="J6:J101">IF(tekst="åpningsbalanse",0,IF(tekst="råbalanse",0,IF(tekst="balanse",0,IF(tekst="inngående balanse",0,IF(tekst="saldobalanse",0,IF(tekst="årsoppgjør",0,IF(mvakode=2,(+debet-kredit)/(1+mva)*mva,IF(mvakode=3,(+debet-kredit)/(1+mva)*mva,0))))))))</f>
        <v>0</v>
      </c>
      <c r="K6" s="486">
        <f aca="true" t="shared" si="4" ref="K6:K101">IF(tekst="åpningsbalanse",0,IF(tekst="råbalanse",0,IF(tekst="balanse",0,IF(tekst="inngående balanse",0,IF(tekst="saldobalanse",0,IF(tekst="årsoppgjør",0,IF(mvakode=1,(+debet-kredit)/(1+mva)*mva,0)))))))</f>
        <v>0</v>
      </c>
      <c r="L6" s="111">
        <f>IF(tekst="åpningsbalanse",0,IF(tekst="råbalanse",0,IF(tekst="balanse",0,IF(tekst="inngående balanse",0,IF(tekst="saldobalanse",0,IF(tekst="årsoppgjør",0,IF(mvakode=2,(+debet-kredit)/(1+mva)*-inv,0)))))))</f>
        <v>0</v>
      </c>
      <c r="M6" s="176">
        <f>IF(kontonr&gt;=3000,IF(kontonr&lt;10000,-nettobeløp,0),0)</f>
        <v>0</v>
      </c>
      <c r="N6" s="177">
        <f aca="true" t="shared" si="5" ref="N6:N37">IF(kontonr&lt;3000,nettobeløp,0)+SUM(K6:L6)+IF(kontonr&gt;=10000,nettobeløp,0)</f>
        <v>0</v>
      </c>
      <c r="P6" s="306">
        <f>IF(kontonr&gt;999,IF(kontonr&lt;1200,$N6,0),0)</f>
        <v>0</v>
      </c>
      <c r="Q6" s="71">
        <f>IF(kontonr&gt;1199,IF(kontonr&lt;1230,$I6,0),0)</f>
        <v>0</v>
      </c>
      <c r="R6" s="71">
        <f>IF(kontonr&gt;1229,IF(kontonr&lt;1400,$I6,0),0)</f>
        <v>0</v>
      </c>
      <c r="S6" s="71">
        <f>IF(kontonr&gt;1399,IF(kontonr&lt;1500,$N6,0),0)</f>
        <v>0</v>
      </c>
      <c r="T6" s="71">
        <f>IF(kontonr&gt;1499,IF(kontonr&lt;1560,$N6),0)+IF(kontonr&gt;(Kontoplan!P$3-1),IF(kontonr&lt;(Kontoplan!P$3+300),$N6,0),0)</f>
        <v>0</v>
      </c>
      <c r="U6" s="71">
        <f>IF(kontonr&gt;1559,IF(kontonr&lt;1900,$N6,0),0)</f>
        <v>0</v>
      </c>
      <c r="V6" s="71">
        <f>IF(kontonr&gt;1899,IF(kontonr&lt;2000,$N6,0),0)</f>
        <v>0</v>
      </c>
      <c r="W6" s="71">
        <f>IF(kontonr&gt;1999,IF(kontonr&lt;2100,$N6,0),0)</f>
        <v>0</v>
      </c>
      <c r="X6" s="71">
        <f>IF(kontonr&gt;2099,IF(kontonr&lt;2300,$N6,0),0)</f>
        <v>0</v>
      </c>
      <c r="Y6" s="71">
        <f>IF(kontonr&gt;2299,IF(kontonr&lt;2400,$N6,0),0)</f>
        <v>0</v>
      </c>
      <c r="Z6" s="71">
        <f>IF(kontonr&gt;2399,IF(kontonr&lt;2500,$N6),0)+IF(kontonr&gt;(Kontoplan!$P$4-1),IF(kontonr&lt;(Kontoplan!$P$4+600),$N6,0),0)</f>
        <v>0</v>
      </c>
      <c r="AA6" s="71">
        <f>IF(kontonr&gt;2499,IF(kontonr&lt;2600,$N6,0),0)</f>
        <v>0</v>
      </c>
      <c r="AB6" s="71">
        <f>IF(kontonr&gt;2599,IF(kontonr&lt;2700,$N6,0),0)</f>
        <v>0</v>
      </c>
      <c r="AC6" s="71">
        <f>IF(kontonr&gt;2699,IF(kontonr&lt;2800,$N6,0),0)</f>
        <v>0</v>
      </c>
      <c r="AD6" s="71">
        <f>IF(kontonr&gt;2799,IF(kontonr&lt;2900,$N6,0),0)</f>
        <v>0</v>
      </c>
      <c r="AE6" s="71">
        <f>IF(kontonr&gt;2899,IF(kontonr&lt;3000,$N6,0),0)</f>
        <v>0</v>
      </c>
      <c r="AF6" s="306">
        <f>IF(kontonr&gt;2999,IF(kontonr&lt;3500,$M6,0),0)</f>
        <v>0</v>
      </c>
      <c r="AG6" s="74">
        <f>IF(kontonr&gt;3499,IF(kontonr&lt;4000,$M6,0),0)</f>
        <v>0</v>
      </c>
      <c r="AH6" s="71">
        <f>IF(kontonr&gt;3999,IF(kontonr&lt;4190,$M6,0),0)+IF(kontonr&gt;4299,IF(kontonr&lt;5000,$M6,0),0)</f>
        <v>0</v>
      </c>
      <c r="AI6" s="71">
        <f>IF(kontonr&gt;4189,IF(kontonr&lt;4300,$M6,0),0)</f>
        <v>0</v>
      </c>
      <c r="AJ6" s="71">
        <f>IF(kontonr&gt;4999,IF(kontonr&lt;6000,$M6,0),0)</f>
        <v>0</v>
      </c>
      <c r="AK6" s="71">
        <f>IF(kontonr&gt;5999,IF(kontonr&lt;6100,$M6,0),0)</f>
        <v>0</v>
      </c>
      <c r="AL6" s="71">
        <f>IF(kontonr&gt;6099,IF(kontonr&lt;8000,$M6,0),0)</f>
        <v>0</v>
      </c>
      <c r="AM6" s="71">
        <f>IF(kontonr&gt;7999,IF(kontonr&lt;8100,$M6,0),0)</f>
        <v>0</v>
      </c>
      <c r="AN6" s="71">
        <f>IF(kontonr&gt;8099,IF(kontonr&lt;8200,$M6,0),0)</f>
        <v>0</v>
      </c>
      <c r="AO6" s="71">
        <f>IF(kontonr&gt;8299,IF(kontonr&lt;8400,$M6,0),0)</f>
        <v>0</v>
      </c>
      <c r="AP6" s="71">
        <f>IF(kontonr&gt;8399,IF(kontonr&lt;8500,$I6,0),0)</f>
        <v>0</v>
      </c>
      <c r="AQ6" s="71">
        <f>IF(kontonr&gt;8499,IF(kontonr&lt;8600,$I6,0),0)</f>
        <v>0</v>
      </c>
      <c r="AR6" s="71">
        <f>IF(kontonr&gt;8599,IF(kontonr&lt;8700,$I6,0),0)</f>
        <v>0</v>
      </c>
      <c r="AS6" s="71">
        <f>IF(kontonr&gt;8919,IF(kontonr&lt;8930,$M6,0),0)</f>
        <v>0</v>
      </c>
      <c r="AT6" s="71">
        <f>IF(kontonr&gt;8899,IF(kontonr&lt;8920,$M6,0),0)+IF(kontonr&gt;8929,IF(kontonr&lt;9000,$M6,0),0)</f>
        <v>0</v>
      </c>
      <c r="AU6" s="306">
        <f>IF(kontonr&gt;1899,IF(kontonr&lt;1909,$N6,0),0)</f>
        <v>0</v>
      </c>
      <c r="AV6" s="71">
        <f>IF(kontonr&gt;1939,IF(kontonr&lt;1950,$N6,0),0)</f>
        <v>0</v>
      </c>
      <c r="AW6" s="71">
        <f>IF(kontonr&gt;1919,IF(kontonr&lt;2000,$N6,0),0)</f>
        <v>0</v>
      </c>
      <c r="AX6" s="71">
        <f>IF(kontonr&gt;2379,IF(kontonr&lt;2389,$N6,0),0)</f>
        <v>0</v>
      </c>
      <c r="AY6" s="113">
        <f>IF(kontonr=AY$5,$N6,0)</f>
        <v>0</v>
      </c>
      <c r="AZ6" s="113">
        <f>IF(kontonr=AZ$5,$N6,0)</f>
        <v>0</v>
      </c>
      <c r="BA6" s="113">
        <f aca="true" t="shared" si="6" ref="BA6:BP29">IF(kontonr=BA$5,$N6,0)</f>
        <v>0</v>
      </c>
      <c r="BB6" s="113">
        <f t="shared" si="6"/>
        <v>0</v>
      </c>
      <c r="BC6" s="113">
        <f t="shared" si="6"/>
        <v>0</v>
      </c>
      <c r="BD6" s="113">
        <f t="shared" si="6"/>
        <v>0</v>
      </c>
      <c r="BE6" s="113">
        <f t="shared" si="6"/>
        <v>0</v>
      </c>
      <c r="BF6" s="113">
        <f t="shared" si="6"/>
        <v>0</v>
      </c>
      <c r="BG6" s="113">
        <f t="shared" si="6"/>
        <v>0</v>
      </c>
      <c r="BH6" s="113">
        <f t="shared" si="6"/>
        <v>0</v>
      </c>
      <c r="BI6" s="113">
        <f t="shared" si="6"/>
        <v>0</v>
      </c>
      <c r="BJ6" s="113">
        <f t="shared" si="6"/>
        <v>0</v>
      </c>
      <c r="BK6" s="113">
        <f t="shared" si="6"/>
        <v>0</v>
      </c>
      <c r="BL6" s="113">
        <f t="shared" si="6"/>
        <v>0</v>
      </c>
      <c r="BM6" s="113">
        <f t="shared" si="6"/>
        <v>0</v>
      </c>
      <c r="BN6" s="113">
        <f t="shared" si="6"/>
        <v>0</v>
      </c>
      <c r="BO6" s="113">
        <f t="shared" si="6"/>
        <v>0</v>
      </c>
      <c r="BP6" s="113">
        <f t="shared" si="6"/>
        <v>0</v>
      </c>
      <c r="BQ6" s="113">
        <f aca="true" t="shared" si="7" ref="BQ6:BR29">IF(kontonr=BQ$5,$N6,0)</f>
        <v>0</v>
      </c>
      <c r="BR6" s="113">
        <f t="shared" si="7"/>
        <v>0</v>
      </c>
      <c r="BS6" s="113">
        <f>IF(kontonr&gt;3099,IF(kontonr&lt;3200,$M6,0),0)</f>
        <v>0</v>
      </c>
      <c r="BT6" s="113">
        <f>IF(tekst="åpningsbalanse",0,IF(tekst="råbalanse",0,IF(tekst="balanse",0,IF(tekst="inngående balanse",0,IF(tekst="saldobalanse",0,IF(tekst="årsoppgjør",0,BS6))))))</f>
        <v>0</v>
      </c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08">
        <f>IF(kontonr="","",VLOOKUP(kontonr,kontoplan,3))</f>
      </c>
      <c r="CJ6" s="113"/>
      <c r="CK6" s="113"/>
      <c r="CL6" s="113"/>
      <c r="CM6" s="113"/>
    </row>
    <row r="7" spans="1:91" s="112" customFormat="1" ht="15">
      <c r="A7" s="103"/>
      <c r="B7" s="104"/>
      <c r="C7" s="105"/>
      <c r="D7" s="106"/>
      <c r="E7" s="107">
        <f t="shared" si="2"/>
      </c>
      <c r="F7" s="108">
        <f aca="true" t="shared" si="8" ref="F7:F134">IF(kontonr="","",VLOOKUP(kontonr,kontoplan,3))</f>
      </c>
      <c r="G7" s="109"/>
      <c r="H7" s="110"/>
      <c r="I7" s="486">
        <f aca="true" t="shared" si="9" ref="I7:I31">+debet-kredit-imva-invavg-umva</f>
        <v>0</v>
      </c>
      <c r="J7" s="486">
        <f t="shared" si="3"/>
        <v>0</v>
      </c>
      <c r="K7" s="486">
        <f t="shared" si="4"/>
        <v>0</v>
      </c>
      <c r="L7" s="111">
        <f aca="true" t="shared" si="10" ref="L7:L134">IF(tekst="åpningsbalanse",0,IF(tekst="råbalanse",0,IF(tekst="balanse",0,IF(tekst="inngående balanse",0,IF(tekst="saldobalanse",0,IF(tekst="årsoppgjør",0,IF(mvakode=2,(+debet-kredit)/(1+mva)*-inv,0)))))))</f>
        <v>0</v>
      </c>
      <c r="M7" s="176">
        <f aca="true" t="shared" si="11" ref="M7:M30">IF(kontonr&gt;=3000,IF(kontonr&lt;10000,-nettobeløp,0),0)</f>
        <v>0</v>
      </c>
      <c r="N7" s="177">
        <f t="shared" si="5"/>
        <v>0</v>
      </c>
      <c r="P7" s="306">
        <f aca="true" t="shared" si="12" ref="P7:P134">IF(kontonr&gt;999,IF(kontonr&lt;1200,$N7,0),0)</f>
        <v>0</v>
      </c>
      <c r="Q7" s="71">
        <f aca="true" t="shared" si="13" ref="Q7:Q134">IF(kontonr&gt;1199,IF(kontonr&lt;1230,$I7,0),0)</f>
        <v>0</v>
      </c>
      <c r="R7" s="71">
        <f aca="true" t="shared" si="14" ref="R7:R134">IF(kontonr&gt;1229,IF(kontonr&lt;1400,$I7,0),0)</f>
        <v>0</v>
      </c>
      <c r="S7" s="71">
        <f aca="true" t="shared" si="15" ref="S7:S134">IF(kontonr&gt;1399,IF(kontonr&lt;1500,$N7,0),0)</f>
        <v>0</v>
      </c>
      <c r="T7" s="71">
        <f>IF(kontonr&gt;1499,IF(kontonr&lt;1560,$N7),0)+IF(kontonr&gt;(Kontoplan!P$3-1),IF(kontonr&lt;(Kontoplan!P$3+300),$N7,0),0)</f>
        <v>0</v>
      </c>
      <c r="U7" s="71">
        <f aca="true" t="shared" si="16" ref="U7:U134">IF(kontonr&gt;1559,IF(kontonr&lt;1900,$N7,0),0)</f>
        <v>0</v>
      </c>
      <c r="V7" s="71">
        <f aca="true" t="shared" si="17" ref="V7:V134">IF(kontonr&gt;1899,IF(kontonr&lt;2000,$N7,0),0)</f>
        <v>0</v>
      </c>
      <c r="W7" s="71">
        <f aca="true" t="shared" si="18" ref="W7:W134">IF(kontonr&gt;1999,IF(kontonr&lt;2100,$N7,0),0)</f>
        <v>0</v>
      </c>
      <c r="X7" s="71">
        <f aca="true" t="shared" si="19" ref="X7:X134">IF(kontonr&gt;2099,IF(kontonr&lt;2300,$N7,0),0)</f>
        <v>0</v>
      </c>
      <c r="Y7" s="71">
        <f aca="true" t="shared" si="20" ref="Y7:Y134">IF(kontonr&gt;2299,IF(kontonr&lt;2400,$N7,0),0)</f>
        <v>0</v>
      </c>
      <c r="Z7" s="71">
        <f>IF(kontonr&gt;2399,IF(kontonr&lt;2500,$N7),0)+IF(kontonr&gt;(Kontoplan!$P$4-1),IF(kontonr&lt;(Kontoplan!$P$4+600),$N7,0),0)</f>
        <v>0</v>
      </c>
      <c r="AA7" s="71">
        <f aca="true" t="shared" si="21" ref="AA7:AA134">IF(kontonr&gt;2499,IF(kontonr&lt;2600,$N7,0),0)</f>
        <v>0</v>
      </c>
      <c r="AB7" s="71">
        <f aca="true" t="shared" si="22" ref="AB7:AB134">IF(kontonr&gt;2599,IF(kontonr&lt;2700,$N7,0),0)</f>
        <v>0</v>
      </c>
      <c r="AC7" s="71">
        <f aca="true" t="shared" si="23" ref="AC7:AC134">IF(kontonr&gt;2699,IF(kontonr&lt;2800,$N7,0),0)</f>
        <v>0</v>
      </c>
      <c r="AD7" s="71">
        <f aca="true" t="shared" si="24" ref="AD7:AD134">IF(kontonr&gt;2799,IF(kontonr&lt;2900,$N7,0),0)</f>
        <v>0</v>
      </c>
      <c r="AE7" s="71">
        <f aca="true" t="shared" si="25" ref="AE7:AE134">IF(kontonr&gt;2899,IF(kontonr&lt;3000,$N7,0),0)</f>
        <v>0</v>
      </c>
      <c r="AF7" s="306">
        <f aca="true" t="shared" si="26" ref="AF7:AF134">IF(kontonr&gt;2999,IF(kontonr&lt;3500,$M7,0),0)</f>
        <v>0</v>
      </c>
      <c r="AG7" s="74">
        <f aca="true" t="shared" si="27" ref="AG7:AG134">IF(kontonr&gt;3499,IF(kontonr&lt;4000,$M7,0),0)</f>
        <v>0</v>
      </c>
      <c r="AH7" s="71">
        <f aca="true" t="shared" si="28" ref="AH7:AH134">IF(kontonr&gt;3999,IF(kontonr&lt;4190,$M7,0),0)+IF(kontonr&gt;4299,IF(kontonr&lt;5000,$M7,0),0)</f>
        <v>0</v>
      </c>
      <c r="AI7" s="71">
        <f aca="true" t="shared" si="29" ref="AI7:AI134">IF(kontonr&gt;4189,IF(kontonr&lt;4300,$M7,0),0)</f>
        <v>0</v>
      </c>
      <c r="AJ7" s="71">
        <f aca="true" t="shared" si="30" ref="AJ7:AJ30">IF(kontonr&gt;4999,IF(kontonr&lt;6000,$M7,0),0)</f>
        <v>0</v>
      </c>
      <c r="AK7" s="71">
        <f aca="true" t="shared" si="31" ref="AK7:AK134">IF(kontonr&gt;5999,IF(kontonr&lt;6100,$M7,0),0)</f>
        <v>0</v>
      </c>
      <c r="AL7" s="71">
        <f aca="true" t="shared" si="32" ref="AL7:AL134">IF(kontonr&gt;6099,IF(kontonr&lt;8000,$M7,0),0)</f>
        <v>0</v>
      </c>
      <c r="AM7" s="71">
        <f aca="true" t="shared" si="33" ref="AM7:AM30">IF(kontonr&gt;7999,IF(kontonr&lt;8100,$M7,0),0)</f>
        <v>0</v>
      </c>
      <c r="AN7" s="71">
        <f aca="true" t="shared" si="34" ref="AN7:AN30">IF(kontonr&gt;8099,IF(kontonr&lt;8200,$M7,0),0)</f>
        <v>0</v>
      </c>
      <c r="AO7" s="71">
        <f aca="true" t="shared" si="35" ref="AO7:AO134">IF(kontonr&gt;8299,IF(kontonr&lt;8400,$M7,0),0)</f>
        <v>0</v>
      </c>
      <c r="AP7" s="71">
        <f aca="true" t="shared" si="36" ref="AP7:AP134">IF(kontonr&gt;8399,IF(kontonr&lt;8500,$I7,0),0)</f>
        <v>0</v>
      </c>
      <c r="AQ7" s="71">
        <f aca="true" t="shared" si="37" ref="AQ7:AQ134">IF(kontonr&gt;8499,IF(kontonr&lt;8600,$I7,0),0)</f>
        <v>0</v>
      </c>
      <c r="AR7" s="71">
        <f aca="true" t="shared" si="38" ref="AR7:AR134">IF(kontonr&gt;8599,IF(kontonr&lt;8700,$I7,0),0)</f>
        <v>0</v>
      </c>
      <c r="AS7" s="71">
        <f aca="true" t="shared" si="39" ref="AS7:AS134">IF(kontonr&gt;8919,IF(kontonr&lt;8930,$M7,0),0)</f>
        <v>0</v>
      </c>
      <c r="AT7" s="71">
        <f aca="true" t="shared" si="40" ref="AT7:AT134">IF(kontonr&gt;8899,IF(kontonr&lt;8920,$M7,0),0)+IF(kontonr&gt;8929,IF(kontonr&lt;9000,$M7,0),0)</f>
        <v>0</v>
      </c>
      <c r="AU7" s="306">
        <f aca="true" t="shared" si="41" ref="AU7:AU134">IF(kontonr&gt;1899,IF(kontonr&lt;1909,$N7,0),0)</f>
        <v>0</v>
      </c>
      <c r="AV7" s="71">
        <f aca="true" t="shared" si="42" ref="AV7:AV134">IF(kontonr&gt;1939,IF(kontonr&lt;1950,$N7,0),0)</f>
        <v>0</v>
      </c>
      <c r="AW7" s="71">
        <f aca="true" t="shared" si="43" ref="AW7:AW134">IF(kontonr&gt;1919,IF(kontonr&lt;2000,$N7,0),0)</f>
        <v>0</v>
      </c>
      <c r="AX7" s="71">
        <f aca="true" t="shared" si="44" ref="AX7:AX134">IF(kontonr&gt;2379,IF(kontonr&lt;2389,$N7,0),0)</f>
        <v>0</v>
      </c>
      <c r="AY7" s="113">
        <f aca="true" t="shared" si="45" ref="AY7:AY30">IF(kontonr=AY$5,$N7,0)</f>
        <v>0</v>
      </c>
      <c r="AZ7" s="113">
        <f aca="true" t="shared" si="46" ref="AZ7:AZ38">IF(kontonr=AZ$5,$N7,0)</f>
        <v>0</v>
      </c>
      <c r="BA7" s="113">
        <f t="shared" si="6"/>
        <v>0</v>
      </c>
      <c r="BB7" s="113">
        <f t="shared" si="6"/>
        <v>0</v>
      </c>
      <c r="BC7" s="113">
        <f t="shared" si="6"/>
        <v>0</v>
      </c>
      <c r="BD7" s="113">
        <f t="shared" si="6"/>
        <v>0</v>
      </c>
      <c r="BE7" s="113">
        <f t="shared" si="6"/>
        <v>0</v>
      </c>
      <c r="BF7" s="113">
        <f t="shared" si="6"/>
        <v>0</v>
      </c>
      <c r="BG7" s="113">
        <f t="shared" si="6"/>
        <v>0</v>
      </c>
      <c r="BH7" s="113">
        <f t="shared" si="6"/>
        <v>0</v>
      </c>
      <c r="BI7" s="113">
        <f t="shared" si="6"/>
        <v>0</v>
      </c>
      <c r="BJ7" s="113">
        <f t="shared" si="6"/>
        <v>0</v>
      </c>
      <c r="BK7" s="113">
        <f t="shared" si="6"/>
        <v>0</v>
      </c>
      <c r="BL7" s="113">
        <f t="shared" si="6"/>
        <v>0</v>
      </c>
      <c r="BM7" s="113">
        <f t="shared" si="6"/>
        <v>0</v>
      </c>
      <c r="BN7" s="113">
        <f t="shared" si="6"/>
        <v>0</v>
      </c>
      <c r="BO7" s="113">
        <f t="shared" si="6"/>
        <v>0</v>
      </c>
      <c r="BP7" s="113">
        <f t="shared" si="6"/>
        <v>0</v>
      </c>
      <c r="BQ7" s="113">
        <f t="shared" si="7"/>
        <v>0</v>
      </c>
      <c r="BR7" s="113">
        <f t="shared" si="7"/>
        <v>0</v>
      </c>
      <c r="BS7" s="113">
        <f aca="true" t="shared" si="47" ref="BS7:BS134">IF(kontonr&gt;3099,IF(kontonr&lt;3200,$M7,0),0)</f>
        <v>0</v>
      </c>
      <c r="BT7" s="113">
        <f aca="true" t="shared" si="48" ref="BT7:BT134">IF(tekst="åpningsbalanse",0,IF(tekst="råbalanse",0,IF(tekst="balanse",0,IF(tekst="inngående balanse",0,IF(tekst="saldobalanse",0,IF(tekst="årsoppgjør",0,BS7))))))</f>
        <v>0</v>
      </c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08">
        <f aca="true" t="shared" si="49" ref="CI7:CI134">IF(kontonr="","",VLOOKUP(kontonr,kontoplan,3))</f>
      </c>
      <c r="CJ7" s="113"/>
      <c r="CK7" s="113"/>
      <c r="CL7" s="113"/>
      <c r="CM7" s="113"/>
    </row>
    <row r="8" spans="1:91" s="112" customFormat="1" ht="15">
      <c r="A8" s="103"/>
      <c r="B8" s="104"/>
      <c r="C8" s="105"/>
      <c r="D8" s="106"/>
      <c r="E8" s="107">
        <f t="shared" si="2"/>
      </c>
      <c r="F8" s="108">
        <f t="shared" si="8"/>
      </c>
      <c r="G8" s="109"/>
      <c r="H8" s="110"/>
      <c r="I8" s="486">
        <f t="shared" si="9"/>
        <v>0</v>
      </c>
      <c r="J8" s="486">
        <f t="shared" si="3"/>
        <v>0</v>
      </c>
      <c r="K8" s="486">
        <f t="shared" si="4"/>
        <v>0</v>
      </c>
      <c r="L8" s="111">
        <f t="shared" si="10"/>
        <v>0</v>
      </c>
      <c r="M8" s="176">
        <f t="shared" si="11"/>
        <v>0</v>
      </c>
      <c r="N8" s="177">
        <f t="shared" si="5"/>
        <v>0</v>
      </c>
      <c r="P8" s="306">
        <f t="shared" si="12"/>
        <v>0</v>
      </c>
      <c r="Q8" s="71">
        <f t="shared" si="13"/>
        <v>0</v>
      </c>
      <c r="R8" s="71">
        <f t="shared" si="14"/>
        <v>0</v>
      </c>
      <c r="S8" s="71">
        <f t="shared" si="15"/>
        <v>0</v>
      </c>
      <c r="T8" s="71">
        <f>IF(kontonr&gt;1499,IF(kontonr&lt;1560,$N8),0)+IF(kontonr&gt;(Kontoplan!P$3-1),IF(kontonr&lt;(Kontoplan!P$3+300),$N8,0),0)</f>
        <v>0</v>
      </c>
      <c r="U8" s="71">
        <f t="shared" si="16"/>
        <v>0</v>
      </c>
      <c r="V8" s="71">
        <f t="shared" si="17"/>
        <v>0</v>
      </c>
      <c r="W8" s="71">
        <f t="shared" si="18"/>
        <v>0</v>
      </c>
      <c r="X8" s="71">
        <f t="shared" si="19"/>
        <v>0</v>
      </c>
      <c r="Y8" s="71">
        <f t="shared" si="20"/>
        <v>0</v>
      </c>
      <c r="Z8" s="71">
        <f>IF(kontonr&gt;2399,IF(kontonr&lt;2500,$N8),0)+IF(kontonr&gt;(Kontoplan!$P$4-1),IF(kontonr&lt;(Kontoplan!$P$4+600),$N8,0),0)</f>
        <v>0</v>
      </c>
      <c r="AA8" s="71">
        <f t="shared" si="21"/>
        <v>0</v>
      </c>
      <c r="AB8" s="71">
        <f t="shared" si="22"/>
        <v>0</v>
      </c>
      <c r="AC8" s="71">
        <f t="shared" si="23"/>
        <v>0</v>
      </c>
      <c r="AD8" s="71">
        <f t="shared" si="24"/>
        <v>0</v>
      </c>
      <c r="AE8" s="71">
        <f t="shared" si="25"/>
        <v>0</v>
      </c>
      <c r="AF8" s="306">
        <f t="shared" si="26"/>
        <v>0</v>
      </c>
      <c r="AG8" s="74">
        <f t="shared" si="27"/>
        <v>0</v>
      </c>
      <c r="AH8" s="71">
        <f t="shared" si="28"/>
        <v>0</v>
      </c>
      <c r="AI8" s="71">
        <f t="shared" si="29"/>
        <v>0</v>
      </c>
      <c r="AJ8" s="71">
        <f t="shared" si="30"/>
        <v>0</v>
      </c>
      <c r="AK8" s="71">
        <f t="shared" si="31"/>
        <v>0</v>
      </c>
      <c r="AL8" s="71">
        <f t="shared" si="32"/>
        <v>0</v>
      </c>
      <c r="AM8" s="71">
        <f t="shared" si="33"/>
        <v>0</v>
      </c>
      <c r="AN8" s="71">
        <f t="shared" si="34"/>
        <v>0</v>
      </c>
      <c r="AO8" s="71">
        <f t="shared" si="35"/>
        <v>0</v>
      </c>
      <c r="AP8" s="71">
        <f t="shared" si="36"/>
        <v>0</v>
      </c>
      <c r="AQ8" s="71">
        <f t="shared" si="37"/>
        <v>0</v>
      </c>
      <c r="AR8" s="71">
        <f t="shared" si="38"/>
        <v>0</v>
      </c>
      <c r="AS8" s="71">
        <f t="shared" si="39"/>
        <v>0</v>
      </c>
      <c r="AT8" s="71">
        <f t="shared" si="40"/>
        <v>0</v>
      </c>
      <c r="AU8" s="306">
        <f t="shared" si="41"/>
        <v>0</v>
      </c>
      <c r="AV8" s="71">
        <f t="shared" si="42"/>
        <v>0</v>
      </c>
      <c r="AW8" s="71">
        <f t="shared" si="43"/>
        <v>0</v>
      </c>
      <c r="AX8" s="71">
        <f t="shared" si="44"/>
        <v>0</v>
      </c>
      <c r="AY8" s="113">
        <f t="shared" si="45"/>
        <v>0</v>
      </c>
      <c r="AZ8" s="113">
        <f t="shared" si="46"/>
        <v>0</v>
      </c>
      <c r="BA8" s="113">
        <f t="shared" si="6"/>
        <v>0</v>
      </c>
      <c r="BB8" s="113">
        <f t="shared" si="6"/>
        <v>0</v>
      </c>
      <c r="BC8" s="113">
        <f t="shared" si="6"/>
        <v>0</v>
      </c>
      <c r="BD8" s="113">
        <f t="shared" si="6"/>
        <v>0</v>
      </c>
      <c r="BE8" s="113">
        <f t="shared" si="6"/>
        <v>0</v>
      </c>
      <c r="BF8" s="113">
        <f t="shared" si="6"/>
        <v>0</v>
      </c>
      <c r="BG8" s="113">
        <f t="shared" si="6"/>
        <v>0</v>
      </c>
      <c r="BH8" s="113">
        <f t="shared" si="6"/>
        <v>0</v>
      </c>
      <c r="BI8" s="113">
        <f t="shared" si="6"/>
        <v>0</v>
      </c>
      <c r="BJ8" s="113">
        <f t="shared" si="6"/>
        <v>0</v>
      </c>
      <c r="BK8" s="113">
        <f t="shared" si="6"/>
        <v>0</v>
      </c>
      <c r="BL8" s="113">
        <f t="shared" si="6"/>
        <v>0</v>
      </c>
      <c r="BM8" s="113">
        <f t="shared" si="6"/>
        <v>0</v>
      </c>
      <c r="BN8" s="113">
        <f t="shared" si="6"/>
        <v>0</v>
      </c>
      <c r="BO8" s="113">
        <f t="shared" si="6"/>
        <v>0</v>
      </c>
      <c r="BP8" s="113">
        <f t="shared" si="6"/>
        <v>0</v>
      </c>
      <c r="BQ8" s="113">
        <f t="shared" si="7"/>
        <v>0</v>
      </c>
      <c r="BR8" s="113">
        <f t="shared" si="7"/>
        <v>0</v>
      </c>
      <c r="BS8" s="113">
        <f t="shared" si="47"/>
        <v>0</v>
      </c>
      <c r="BT8" s="113">
        <f t="shared" si="48"/>
        <v>0</v>
      </c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08">
        <f t="shared" si="49"/>
      </c>
      <c r="CJ8" s="113"/>
      <c r="CK8" s="113"/>
      <c r="CL8" s="113"/>
      <c r="CM8" s="113"/>
    </row>
    <row r="9" spans="1:91" s="112" customFormat="1" ht="15">
      <c r="A9" s="103"/>
      <c r="B9" s="104"/>
      <c r="C9" s="105"/>
      <c r="D9" s="106"/>
      <c r="E9" s="107">
        <f t="shared" si="2"/>
      </c>
      <c r="F9" s="108">
        <f t="shared" si="8"/>
      </c>
      <c r="G9" s="109"/>
      <c r="H9" s="110"/>
      <c r="I9" s="486">
        <f t="shared" si="9"/>
        <v>0</v>
      </c>
      <c r="J9" s="486">
        <f t="shared" si="3"/>
        <v>0</v>
      </c>
      <c r="K9" s="486">
        <f t="shared" si="4"/>
        <v>0</v>
      </c>
      <c r="L9" s="111">
        <f t="shared" si="10"/>
        <v>0</v>
      </c>
      <c r="M9" s="176">
        <f t="shared" si="11"/>
        <v>0</v>
      </c>
      <c r="N9" s="177">
        <f t="shared" si="5"/>
        <v>0</v>
      </c>
      <c r="P9" s="306">
        <f t="shared" si="12"/>
        <v>0</v>
      </c>
      <c r="Q9" s="71">
        <f t="shared" si="13"/>
        <v>0</v>
      </c>
      <c r="R9" s="71">
        <f t="shared" si="14"/>
        <v>0</v>
      </c>
      <c r="S9" s="71">
        <f t="shared" si="15"/>
        <v>0</v>
      </c>
      <c r="T9" s="71">
        <f>IF(kontonr&gt;1499,IF(kontonr&lt;1560,$N9),0)+IF(kontonr&gt;(Kontoplan!P$3-1),IF(kontonr&lt;(Kontoplan!P$3+300),$N9,0),0)</f>
        <v>0</v>
      </c>
      <c r="U9" s="71">
        <f t="shared" si="16"/>
        <v>0</v>
      </c>
      <c r="V9" s="71">
        <f t="shared" si="17"/>
        <v>0</v>
      </c>
      <c r="W9" s="71">
        <f t="shared" si="18"/>
        <v>0</v>
      </c>
      <c r="X9" s="71">
        <f t="shared" si="19"/>
        <v>0</v>
      </c>
      <c r="Y9" s="71">
        <f t="shared" si="20"/>
        <v>0</v>
      </c>
      <c r="Z9" s="71">
        <f>IF(kontonr&gt;2399,IF(kontonr&lt;2500,$N9),0)+IF(kontonr&gt;(Kontoplan!$P$4-1),IF(kontonr&lt;(Kontoplan!$P$4+600),$N9,0),0)</f>
        <v>0</v>
      </c>
      <c r="AA9" s="71">
        <f t="shared" si="21"/>
        <v>0</v>
      </c>
      <c r="AB9" s="71">
        <f t="shared" si="22"/>
        <v>0</v>
      </c>
      <c r="AC9" s="71">
        <f t="shared" si="23"/>
        <v>0</v>
      </c>
      <c r="AD9" s="71">
        <f t="shared" si="24"/>
        <v>0</v>
      </c>
      <c r="AE9" s="71">
        <f t="shared" si="25"/>
        <v>0</v>
      </c>
      <c r="AF9" s="306">
        <f t="shared" si="26"/>
        <v>0</v>
      </c>
      <c r="AG9" s="74">
        <f t="shared" si="27"/>
        <v>0</v>
      </c>
      <c r="AH9" s="71">
        <f t="shared" si="28"/>
        <v>0</v>
      </c>
      <c r="AI9" s="71">
        <f t="shared" si="29"/>
        <v>0</v>
      </c>
      <c r="AJ9" s="71">
        <f t="shared" si="30"/>
        <v>0</v>
      </c>
      <c r="AK9" s="71">
        <f t="shared" si="31"/>
        <v>0</v>
      </c>
      <c r="AL9" s="71">
        <f t="shared" si="32"/>
        <v>0</v>
      </c>
      <c r="AM9" s="71">
        <f t="shared" si="33"/>
        <v>0</v>
      </c>
      <c r="AN9" s="71">
        <f t="shared" si="34"/>
        <v>0</v>
      </c>
      <c r="AO9" s="71">
        <f t="shared" si="35"/>
        <v>0</v>
      </c>
      <c r="AP9" s="71">
        <f t="shared" si="36"/>
        <v>0</v>
      </c>
      <c r="AQ9" s="71">
        <f t="shared" si="37"/>
        <v>0</v>
      </c>
      <c r="AR9" s="71">
        <f t="shared" si="38"/>
        <v>0</v>
      </c>
      <c r="AS9" s="71">
        <f t="shared" si="39"/>
        <v>0</v>
      </c>
      <c r="AT9" s="71">
        <f t="shared" si="40"/>
        <v>0</v>
      </c>
      <c r="AU9" s="306">
        <f t="shared" si="41"/>
        <v>0</v>
      </c>
      <c r="AV9" s="71">
        <f t="shared" si="42"/>
        <v>0</v>
      </c>
      <c r="AW9" s="71">
        <f t="shared" si="43"/>
        <v>0</v>
      </c>
      <c r="AX9" s="71">
        <f t="shared" si="44"/>
        <v>0</v>
      </c>
      <c r="AY9" s="113">
        <f t="shared" si="45"/>
        <v>0</v>
      </c>
      <c r="AZ9" s="113">
        <f t="shared" si="46"/>
        <v>0</v>
      </c>
      <c r="BA9" s="113">
        <f t="shared" si="6"/>
        <v>0</v>
      </c>
      <c r="BB9" s="113">
        <f t="shared" si="6"/>
        <v>0</v>
      </c>
      <c r="BC9" s="113">
        <f t="shared" si="6"/>
        <v>0</v>
      </c>
      <c r="BD9" s="113">
        <f t="shared" si="6"/>
        <v>0</v>
      </c>
      <c r="BE9" s="113">
        <f t="shared" si="6"/>
        <v>0</v>
      </c>
      <c r="BF9" s="113">
        <f t="shared" si="6"/>
        <v>0</v>
      </c>
      <c r="BG9" s="113">
        <f t="shared" si="6"/>
        <v>0</v>
      </c>
      <c r="BH9" s="113">
        <f t="shared" si="6"/>
        <v>0</v>
      </c>
      <c r="BI9" s="113">
        <f t="shared" si="6"/>
        <v>0</v>
      </c>
      <c r="BJ9" s="113">
        <f t="shared" si="6"/>
        <v>0</v>
      </c>
      <c r="BK9" s="113">
        <f t="shared" si="6"/>
        <v>0</v>
      </c>
      <c r="BL9" s="113">
        <f t="shared" si="6"/>
        <v>0</v>
      </c>
      <c r="BM9" s="113">
        <f t="shared" si="6"/>
        <v>0</v>
      </c>
      <c r="BN9" s="113">
        <f t="shared" si="6"/>
        <v>0</v>
      </c>
      <c r="BO9" s="113">
        <f t="shared" si="6"/>
        <v>0</v>
      </c>
      <c r="BP9" s="113">
        <f t="shared" si="6"/>
        <v>0</v>
      </c>
      <c r="BQ9" s="113">
        <f t="shared" si="7"/>
        <v>0</v>
      </c>
      <c r="BR9" s="113">
        <f t="shared" si="7"/>
        <v>0</v>
      </c>
      <c r="BS9" s="113">
        <f t="shared" si="47"/>
        <v>0</v>
      </c>
      <c r="BT9" s="113">
        <f t="shared" si="48"/>
        <v>0</v>
      </c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08">
        <f t="shared" si="49"/>
      </c>
      <c r="CJ9" s="113"/>
      <c r="CK9" s="113"/>
      <c r="CL9" s="113"/>
      <c r="CM9" s="113"/>
    </row>
    <row r="10" spans="1:91" s="112" customFormat="1" ht="15">
      <c r="A10" s="103"/>
      <c r="B10" s="104"/>
      <c r="C10" s="105"/>
      <c r="D10" s="106"/>
      <c r="E10" s="107">
        <f t="shared" si="2"/>
      </c>
      <c r="F10" s="108">
        <f t="shared" si="8"/>
      </c>
      <c r="G10" s="109"/>
      <c r="H10" s="110"/>
      <c r="I10" s="486">
        <f t="shared" si="9"/>
        <v>0</v>
      </c>
      <c r="J10" s="486">
        <f t="shared" si="3"/>
        <v>0</v>
      </c>
      <c r="K10" s="486">
        <f t="shared" si="4"/>
        <v>0</v>
      </c>
      <c r="L10" s="111">
        <f t="shared" si="10"/>
        <v>0</v>
      </c>
      <c r="M10" s="176">
        <f t="shared" si="11"/>
        <v>0</v>
      </c>
      <c r="N10" s="177">
        <f t="shared" si="5"/>
        <v>0</v>
      </c>
      <c r="P10" s="306">
        <f t="shared" si="12"/>
        <v>0</v>
      </c>
      <c r="Q10" s="71">
        <f t="shared" si="13"/>
        <v>0</v>
      </c>
      <c r="R10" s="71">
        <f t="shared" si="14"/>
        <v>0</v>
      </c>
      <c r="S10" s="71">
        <f t="shared" si="15"/>
        <v>0</v>
      </c>
      <c r="T10" s="71">
        <f>IF(kontonr&gt;1499,IF(kontonr&lt;1560,$N10),0)+IF(kontonr&gt;(Kontoplan!P$3-1),IF(kontonr&lt;(Kontoplan!P$3+300),$N10,0),0)</f>
        <v>0</v>
      </c>
      <c r="U10" s="71">
        <f t="shared" si="16"/>
        <v>0</v>
      </c>
      <c r="V10" s="71">
        <f t="shared" si="17"/>
        <v>0</v>
      </c>
      <c r="W10" s="71">
        <f t="shared" si="18"/>
        <v>0</v>
      </c>
      <c r="X10" s="71">
        <f t="shared" si="19"/>
        <v>0</v>
      </c>
      <c r="Y10" s="71">
        <f t="shared" si="20"/>
        <v>0</v>
      </c>
      <c r="Z10" s="71">
        <f>IF(kontonr&gt;2399,IF(kontonr&lt;2500,$N10),0)+IF(kontonr&gt;(Kontoplan!$P$4-1),IF(kontonr&lt;(Kontoplan!$P$4+600),$N10,0),0)</f>
        <v>0</v>
      </c>
      <c r="AA10" s="71">
        <f t="shared" si="21"/>
        <v>0</v>
      </c>
      <c r="AB10" s="71">
        <f t="shared" si="22"/>
        <v>0</v>
      </c>
      <c r="AC10" s="71">
        <f t="shared" si="23"/>
        <v>0</v>
      </c>
      <c r="AD10" s="71">
        <f t="shared" si="24"/>
        <v>0</v>
      </c>
      <c r="AE10" s="71">
        <f t="shared" si="25"/>
        <v>0</v>
      </c>
      <c r="AF10" s="306">
        <f t="shared" si="26"/>
        <v>0</v>
      </c>
      <c r="AG10" s="74">
        <f t="shared" si="27"/>
        <v>0</v>
      </c>
      <c r="AH10" s="71">
        <f t="shared" si="28"/>
        <v>0</v>
      </c>
      <c r="AI10" s="71">
        <f t="shared" si="29"/>
        <v>0</v>
      </c>
      <c r="AJ10" s="71">
        <f t="shared" si="30"/>
        <v>0</v>
      </c>
      <c r="AK10" s="71">
        <f t="shared" si="31"/>
        <v>0</v>
      </c>
      <c r="AL10" s="71">
        <f t="shared" si="32"/>
        <v>0</v>
      </c>
      <c r="AM10" s="71">
        <f t="shared" si="33"/>
        <v>0</v>
      </c>
      <c r="AN10" s="71">
        <f t="shared" si="34"/>
        <v>0</v>
      </c>
      <c r="AO10" s="71">
        <f t="shared" si="35"/>
        <v>0</v>
      </c>
      <c r="AP10" s="71">
        <f t="shared" si="36"/>
        <v>0</v>
      </c>
      <c r="AQ10" s="71">
        <f t="shared" si="37"/>
        <v>0</v>
      </c>
      <c r="AR10" s="71">
        <f t="shared" si="38"/>
        <v>0</v>
      </c>
      <c r="AS10" s="71">
        <f t="shared" si="39"/>
        <v>0</v>
      </c>
      <c r="AT10" s="71">
        <f t="shared" si="40"/>
        <v>0</v>
      </c>
      <c r="AU10" s="306">
        <f t="shared" si="41"/>
        <v>0</v>
      </c>
      <c r="AV10" s="71">
        <f t="shared" si="42"/>
        <v>0</v>
      </c>
      <c r="AW10" s="71">
        <f t="shared" si="43"/>
        <v>0</v>
      </c>
      <c r="AX10" s="71">
        <f t="shared" si="44"/>
        <v>0</v>
      </c>
      <c r="AY10" s="113">
        <f t="shared" si="45"/>
        <v>0</v>
      </c>
      <c r="AZ10" s="113">
        <f t="shared" si="46"/>
        <v>0</v>
      </c>
      <c r="BA10" s="113">
        <f t="shared" si="6"/>
        <v>0</v>
      </c>
      <c r="BB10" s="113">
        <f t="shared" si="6"/>
        <v>0</v>
      </c>
      <c r="BC10" s="113">
        <f t="shared" si="6"/>
        <v>0</v>
      </c>
      <c r="BD10" s="113">
        <f t="shared" si="6"/>
        <v>0</v>
      </c>
      <c r="BE10" s="113">
        <f t="shared" si="6"/>
        <v>0</v>
      </c>
      <c r="BF10" s="113">
        <f t="shared" si="6"/>
        <v>0</v>
      </c>
      <c r="BG10" s="113">
        <f t="shared" si="6"/>
        <v>0</v>
      </c>
      <c r="BH10" s="113">
        <f t="shared" si="6"/>
        <v>0</v>
      </c>
      <c r="BI10" s="113">
        <f t="shared" si="6"/>
        <v>0</v>
      </c>
      <c r="BJ10" s="113">
        <f t="shared" si="6"/>
        <v>0</v>
      </c>
      <c r="BK10" s="113">
        <f t="shared" si="6"/>
        <v>0</v>
      </c>
      <c r="BL10" s="113">
        <f t="shared" si="6"/>
        <v>0</v>
      </c>
      <c r="BM10" s="113">
        <f t="shared" si="6"/>
        <v>0</v>
      </c>
      <c r="BN10" s="113">
        <f t="shared" si="6"/>
        <v>0</v>
      </c>
      <c r="BO10" s="113">
        <f t="shared" si="6"/>
        <v>0</v>
      </c>
      <c r="BP10" s="113">
        <f t="shared" si="6"/>
        <v>0</v>
      </c>
      <c r="BQ10" s="113">
        <f t="shared" si="7"/>
        <v>0</v>
      </c>
      <c r="BR10" s="113">
        <f t="shared" si="7"/>
        <v>0</v>
      </c>
      <c r="BS10" s="113">
        <f t="shared" si="47"/>
        <v>0</v>
      </c>
      <c r="BT10" s="113">
        <f t="shared" si="48"/>
        <v>0</v>
      </c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08">
        <f t="shared" si="49"/>
      </c>
      <c r="CJ10" s="113"/>
      <c r="CK10" s="113"/>
      <c r="CL10" s="113"/>
      <c r="CM10" s="113"/>
    </row>
    <row r="11" spans="1:91" s="112" customFormat="1" ht="15">
      <c r="A11" s="103"/>
      <c r="B11" s="104"/>
      <c r="C11" s="105"/>
      <c r="D11" s="106"/>
      <c r="E11" s="107">
        <f t="shared" si="2"/>
      </c>
      <c r="F11" s="108">
        <f t="shared" si="8"/>
      </c>
      <c r="G11" s="109"/>
      <c r="H11" s="110"/>
      <c r="I11" s="486">
        <f t="shared" si="9"/>
        <v>0</v>
      </c>
      <c r="J11" s="486">
        <f t="shared" si="3"/>
        <v>0</v>
      </c>
      <c r="K11" s="486">
        <f t="shared" si="4"/>
        <v>0</v>
      </c>
      <c r="L11" s="111">
        <f t="shared" si="10"/>
        <v>0</v>
      </c>
      <c r="M11" s="176">
        <f t="shared" si="11"/>
        <v>0</v>
      </c>
      <c r="N11" s="177">
        <f t="shared" si="5"/>
        <v>0</v>
      </c>
      <c r="P11" s="306">
        <f t="shared" si="12"/>
        <v>0</v>
      </c>
      <c r="Q11" s="71">
        <f t="shared" si="13"/>
        <v>0</v>
      </c>
      <c r="R11" s="71">
        <f t="shared" si="14"/>
        <v>0</v>
      </c>
      <c r="S11" s="71">
        <f t="shared" si="15"/>
        <v>0</v>
      </c>
      <c r="T11" s="71">
        <f>IF(kontonr&gt;1499,IF(kontonr&lt;1560,$N11),0)+IF(kontonr&gt;(Kontoplan!P$3-1),IF(kontonr&lt;(Kontoplan!P$3+300),$N11,0),0)</f>
        <v>0</v>
      </c>
      <c r="U11" s="71">
        <f t="shared" si="16"/>
        <v>0</v>
      </c>
      <c r="V11" s="71">
        <f t="shared" si="17"/>
        <v>0</v>
      </c>
      <c r="W11" s="71">
        <f t="shared" si="18"/>
        <v>0</v>
      </c>
      <c r="X11" s="71">
        <f t="shared" si="19"/>
        <v>0</v>
      </c>
      <c r="Y11" s="71">
        <f t="shared" si="20"/>
        <v>0</v>
      </c>
      <c r="Z11" s="71">
        <f>IF(kontonr&gt;2399,IF(kontonr&lt;2500,$N11),0)+IF(kontonr&gt;(Kontoplan!$P$4-1),IF(kontonr&lt;(Kontoplan!$P$4+600),$N11,0),0)</f>
        <v>0</v>
      </c>
      <c r="AA11" s="71">
        <f t="shared" si="21"/>
        <v>0</v>
      </c>
      <c r="AB11" s="71">
        <f t="shared" si="22"/>
        <v>0</v>
      </c>
      <c r="AC11" s="71">
        <f t="shared" si="23"/>
        <v>0</v>
      </c>
      <c r="AD11" s="71">
        <f t="shared" si="24"/>
        <v>0</v>
      </c>
      <c r="AE11" s="71">
        <f t="shared" si="25"/>
        <v>0</v>
      </c>
      <c r="AF11" s="306">
        <f t="shared" si="26"/>
        <v>0</v>
      </c>
      <c r="AG11" s="74">
        <f t="shared" si="27"/>
        <v>0</v>
      </c>
      <c r="AH11" s="71">
        <f t="shared" si="28"/>
        <v>0</v>
      </c>
      <c r="AI11" s="71">
        <f t="shared" si="29"/>
        <v>0</v>
      </c>
      <c r="AJ11" s="71">
        <f t="shared" si="30"/>
        <v>0</v>
      </c>
      <c r="AK11" s="71">
        <f t="shared" si="31"/>
        <v>0</v>
      </c>
      <c r="AL11" s="71">
        <f t="shared" si="32"/>
        <v>0</v>
      </c>
      <c r="AM11" s="71">
        <f t="shared" si="33"/>
        <v>0</v>
      </c>
      <c r="AN11" s="71">
        <f t="shared" si="34"/>
        <v>0</v>
      </c>
      <c r="AO11" s="71">
        <f t="shared" si="35"/>
        <v>0</v>
      </c>
      <c r="AP11" s="71">
        <f t="shared" si="36"/>
        <v>0</v>
      </c>
      <c r="AQ11" s="71">
        <f t="shared" si="37"/>
        <v>0</v>
      </c>
      <c r="AR11" s="71">
        <f t="shared" si="38"/>
        <v>0</v>
      </c>
      <c r="AS11" s="71">
        <f t="shared" si="39"/>
        <v>0</v>
      </c>
      <c r="AT11" s="71">
        <f t="shared" si="40"/>
        <v>0</v>
      </c>
      <c r="AU11" s="306">
        <f t="shared" si="41"/>
        <v>0</v>
      </c>
      <c r="AV11" s="71">
        <f t="shared" si="42"/>
        <v>0</v>
      </c>
      <c r="AW11" s="71">
        <f t="shared" si="43"/>
        <v>0</v>
      </c>
      <c r="AX11" s="71">
        <f t="shared" si="44"/>
        <v>0</v>
      </c>
      <c r="AY11" s="113">
        <f t="shared" si="45"/>
        <v>0</v>
      </c>
      <c r="AZ11" s="113">
        <f t="shared" si="46"/>
        <v>0</v>
      </c>
      <c r="BA11" s="113">
        <f t="shared" si="6"/>
        <v>0</v>
      </c>
      <c r="BB11" s="113">
        <f t="shared" si="6"/>
        <v>0</v>
      </c>
      <c r="BC11" s="113">
        <f t="shared" si="6"/>
        <v>0</v>
      </c>
      <c r="BD11" s="113">
        <f t="shared" si="6"/>
        <v>0</v>
      </c>
      <c r="BE11" s="113">
        <f t="shared" si="6"/>
        <v>0</v>
      </c>
      <c r="BF11" s="113">
        <f t="shared" si="6"/>
        <v>0</v>
      </c>
      <c r="BG11" s="113">
        <f t="shared" si="6"/>
        <v>0</v>
      </c>
      <c r="BH11" s="113">
        <f t="shared" si="6"/>
        <v>0</v>
      </c>
      <c r="BI11" s="113">
        <f t="shared" si="6"/>
        <v>0</v>
      </c>
      <c r="BJ11" s="113">
        <f t="shared" si="6"/>
        <v>0</v>
      </c>
      <c r="BK11" s="113">
        <f t="shared" si="6"/>
        <v>0</v>
      </c>
      <c r="BL11" s="113">
        <f t="shared" si="6"/>
        <v>0</v>
      </c>
      <c r="BM11" s="113">
        <f t="shared" si="6"/>
        <v>0</v>
      </c>
      <c r="BN11" s="113">
        <f t="shared" si="6"/>
        <v>0</v>
      </c>
      <c r="BO11" s="113">
        <f t="shared" si="6"/>
        <v>0</v>
      </c>
      <c r="BP11" s="113">
        <f t="shared" si="6"/>
        <v>0</v>
      </c>
      <c r="BQ11" s="113">
        <f t="shared" si="7"/>
        <v>0</v>
      </c>
      <c r="BR11" s="113">
        <f t="shared" si="7"/>
        <v>0</v>
      </c>
      <c r="BS11" s="113">
        <f t="shared" si="47"/>
        <v>0</v>
      </c>
      <c r="BT11" s="113">
        <f t="shared" si="48"/>
        <v>0</v>
      </c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08">
        <f t="shared" si="49"/>
      </c>
      <c r="CJ11" s="113"/>
      <c r="CK11" s="113"/>
      <c r="CL11" s="113"/>
      <c r="CM11" s="113"/>
    </row>
    <row r="12" spans="1:91" s="112" customFormat="1" ht="15">
      <c r="A12" s="103"/>
      <c r="B12" s="104"/>
      <c r="C12" s="105"/>
      <c r="D12" s="106"/>
      <c r="E12" s="107">
        <f t="shared" si="2"/>
      </c>
      <c r="F12" s="108">
        <f t="shared" si="8"/>
      </c>
      <c r="G12" s="109"/>
      <c r="H12" s="110"/>
      <c r="I12" s="486">
        <f t="shared" si="9"/>
        <v>0</v>
      </c>
      <c r="J12" s="486">
        <f t="shared" si="3"/>
        <v>0</v>
      </c>
      <c r="K12" s="486">
        <f t="shared" si="4"/>
        <v>0</v>
      </c>
      <c r="L12" s="111">
        <f t="shared" si="10"/>
        <v>0</v>
      </c>
      <c r="M12" s="176">
        <f t="shared" si="11"/>
        <v>0</v>
      </c>
      <c r="N12" s="177">
        <f t="shared" si="5"/>
        <v>0</v>
      </c>
      <c r="P12" s="306">
        <f t="shared" si="12"/>
        <v>0</v>
      </c>
      <c r="Q12" s="71">
        <f t="shared" si="13"/>
        <v>0</v>
      </c>
      <c r="R12" s="71">
        <f t="shared" si="14"/>
        <v>0</v>
      </c>
      <c r="S12" s="71">
        <f t="shared" si="15"/>
        <v>0</v>
      </c>
      <c r="T12" s="71">
        <f>IF(kontonr&gt;1499,IF(kontonr&lt;1560,$N12),0)+IF(kontonr&gt;(Kontoplan!P$3-1),IF(kontonr&lt;(Kontoplan!P$3+300),$N12,0),0)</f>
        <v>0</v>
      </c>
      <c r="U12" s="71">
        <f t="shared" si="16"/>
        <v>0</v>
      </c>
      <c r="V12" s="71">
        <f t="shared" si="17"/>
        <v>0</v>
      </c>
      <c r="W12" s="71">
        <f t="shared" si="18"/>
        <v>0</v>
      </c>
      <c r="X12" s="71">
        <f t="shared" si="19"/>
        <v>0</v>
      </c>
      <c r="Y12" s="71">
        <f t="shared" si="20"/>
        <v>0</v>
      </c>
      <c r="Z12" s="71">
        <f>IF(kontonr&gt;2399,IF(kontonr&lt;2500,$N12),0)+IF(kontonr&gt;(Kontoplan!$P$4-1),IF(kontonr&lt;(Kontoplan!$P$4+600),$N12,0),0)</f>
        <v>0</v>
      </c>
      <c r="AA12" s="71">
        <f t="shared" si="21"/>
        <v>0</v>
      </c>
      <c r="AB12" s="71">
        <f t="shared" si="22"/>
        <v>0</v>
      </c>
      <c r="AC12" s="71">
        <f t="shared" si="23"/>
        <v>0</v>
      </c>
      <c r="AD12" s="71">
        <f t="shared" si="24"/>
        <v>0</v>
      </c>
      <c r="AE12" s="71">
        <f t="shared" si="25"/>
        <v>0</v>
      </c>
      <c r="AF12" s="306">
        <f t="shared" si="26"/>
        <v>0</v>
      </c>
      <c r="AG12" s="74">
        <f t="shared" si="27"/>
        <v>0</v>
      </c>
      <c r="AH12" s="71">
        <f t="shared" si="28"/>
        <v>0</v>
      </c>
      <c r="AI12" s="71">
        <f t="shared" si="29"/>
        <v>0</v>
      </c>
      <c r="AJ12" s="71">
        <f t="shared" si="30"/>
        <v>0</v>
      </c>
      <c r="AK12" s="71">
        <f t="shared" si="31"/>
        <v>0</v>
      </c>
      <c r="AL12" s="71">
        <f t="shared" si="32"/>
        <v>0</v>
      </c>
      <c r="AM12" s="71">
        <f t="shared" si="33"/>
        <v>0</v>
      </c>
      <c r="AN12" s="71">
        <f t="shared" si="34"/>
        <v>0</v>
      </c>
      <c r="AO12" s="71">
        <f t="shared" si="35"/>
        <v>0</v>
      </c>
      <c r="AP12" s="71">
        <f t="shared" si="36"/>
        <v>0</v>
      </c>
      <c r="AQ12" s="71">
        <f t="shared" si="37"/>
        <v>0</v>
      </c>
      <c r="AR12" s="71">
        <f t="shared" si="38"/>
        <v>0</v>
      </c>
      <c r="AS12" s="71">
        <f t="shared" si="39"/>
        <v>0</v>
      </c>
      <c r="AT12" s="71">
        <f t="shared" si="40"/>
        <v>0</v>
      </c>
      <c r="AU12" s="306">
        <f t="shared" si="41"/>
        <v>0</v>
      </c>
      <c r="AV12" s="71">
        <f t="shared" si="42"/>
        <v>0</v>
      </c>
      <c r="AW12" s="71">
        <f t="shared" si="43"/>
        <v>0</v>
      </c>
      <c r="AX12" s="71">
        <f t="shared" si="44"/>
        <v>0</v>
      </c>
      <c r="AY12" s="113">
        <f t="shared" si="45"/>
        <v>0</v>
      </c>
      <c r="AZ12" s="113">
        <f t="shared" si="46"/>
        <v>0</v>
      </c>
      <c r="BA12" s="113">
        <f t="shared" si="6"/>
        <v>0</v>
      </c>
      <c r="BB12" s="113">
        <f t="shared" si="6"/>
        <v>0</v>
      </c>
      <c r="BC12" s="113">
        <f t="shared" si="6"/>
        <v>0</v>
      </c>
      <c r="BD12" s="113">
        <f t="shared" si="6"/>
        <v>0</v>
      </c>
      <c r="BE12" s="113">
        <f t="shared" si="6"/>
        <v>0</v>
      </c>
      <c r="BF12" s="113">
        <f t="shared" si="6"/>
        <v>0</v>
      </c>
      <c r="BG12" s="113">
        <f t="shared" si="6"/>
        <v>0</v>
      </c>
      <c r="BH12" s="113">
        <f t="shared" si="6"/>
        <v>0</v>
      </c>
      <c r="BI12" s="113">
        <f t="shared" si="6"/>
        <v>0</v>
      </c>
      <c r="BJ12" s="113">
        <f t="shared" si="6"/>
        <v>0</v>
      </c>
      <c r="BK12" s="113">
        <f t="shared" si="6"/>
        <v>0</v>
      </c>
      <c r="BL12" s="113">
        <f t="shared" si="6"/>
        <v>0</v>
      </c>
      <c r="BM12" s="113">
        <f t="shared" si="6"/>
        <v>0</v>
      </c>
      <c r="BN12" s="113">
        <f t="shared" si="6"/>
        <v>0</v>
      </c>
      <c r="BO12" s="113">
        <f t="shared" si="6"/>
        <v>0</v>
      </c>
      <c r="BP12" s="113">
        <f t="shared" si="6"/>
        <v>0</v>
      </c>
      <c r="BQ12" s="113">
        <f t="shared" si="7"/>
        <v>0</v>
      </c>
      <c r="BR12" s="113">
        <f t="shared" si="7"/>
        <v>0</v>
      </c>
      <c r="BS12" s="113">
        <f t="shared" si="47"/>
        <v>0</v>
      </c>
      <c r="BT12" s="113">
        <f t="shared" si="48"/>
        <v>0</v>
      </c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08">
        <f t="shared" si="49"/>
      </c>
      <c r="CJ12" s="113"/>
      <c r="CK12" s="113"/>
      <c r="CL12" s="113"/>
      <c r="CM12" s="113"/>
    </row>
    <row r="13" spans="1:91" s="112" customFormat="1" ht="15">
      <c r="A13" s="103"/>
      <c r="B13" s="104"/>
      <c r="C13" s="105"/>
      <c r="D13" s="106"/>
      <c r="E13" s="107">
        <f t="shared" si="2"/>
      </c>
      <c r="F13" s="108">
        <f t="shared" si="8"/>
      </c>
      <c r="G13" s="109"/>
      <c r="H13" s="110"/>
      <c r="I13" s="486">
        <f t="shared" si="9"/>
        <v>0</v>
      </c>
      <c r="J13" s="486">
        <f t="shared" si="3"/>
        <v>0</v>
      </c>
      <c r="K13" s="486">
        <f t="shared" si="4"/>
        <v>0</v>
      </c>
      <c r="L13" s="111">
        <f t="shared" si="10"/>
        <v>0</v>
      </c>
      <c r="M13" s="176">
        <f t="shared" si="11"/>
        <v>0</v>
      </c>
      <c r="N13" s="177">
        <f t="shared" si="5"/>
        <v>0</v>
      </c>
      <c r="P13" s="306">
        <f t="shared" si="12"/>
        <v>0</v>
      </c>
      <c r="Q13" s="71">
        <f t="shared" si="13"/>
        <v>0</v>
      </c>
      <c r="R13" s="71">
        <f t="shared" si="14"/>
        <v>0</v>
      </c>
      <c r="S13" s="71">
        <f t="shared" si="15"/>
        <v>0</v>
      </c>
      <c r="T13" s="71">
        <f>IF(kontonr&gt;1499,IF(kontonr&lt;1560,$N13),0)+IF(kontonr&gt;(Kontoplan!P$3-1),IF(kontonr&lt;(Kontoplan!P$3+300),$N13,0),0)</f>
        <v>0</v>
      </c>
      <c r="U13" s="71">
        <f t="shared" si="16"/>
        <v>0</v>
      </c>
      <c r="V13" s="71">
        <f t="shared" si="17"/>
        <v>0</v>
      </c>
      <c r="W13" s="71">
        <f t="shared" si="18"/>
        <v>0</v>
      </c>
      <c r="X13" s="71">
        <f t="shared" si="19"/>
        <v>0</v>
      </c>
      <c r="Y13" s="71">
        <f t="shared" si="20"/>
        <v>0</v>
      </c>
      <c r="Z13" s="71">
        <f>IF(kontonr&gt;2399,IF(kontonr&lt;2500,$N13),0)+IF(kontonr&gt;(Kontoplan!$P$4-1),IF(kontonr&lt;(Kontoplan!$P$4+600),$N13,0),0)</f>
        <v>0</v>
      </c>
      <c r="AA13" s="71">
        <f t="shared" si="21"/>
        <v>0</v>
      </c>
      <c r="AB13" s="71">
        <f t="shared" si="22"/>
        <v>0</v>
      </c>
      <c r="AC13" s="71">
        <f t="shared" si="23"/>
        <v>0</v>
      </c>
      <c r="AD13" s="71">
        <f t="shared" si="24"/>
        <v>0</v>
      </c>
      <c r="AE13" s="71">
        <f t="shared" si="25"/>
        <v>0</v>
      </c>
      <c r="AF13" s="306">
        <f t="shared" si="26"/>
        <v>0</v>
      </c>
      <c r="AG13" s="74">
        <f t="shared" si="27"/>
        <v>0</v>
      </c>
      <c r="AH13" s="71">
        <f t="shared" si="28"/>
        <v>0</v>
      </c>
      <c r="AI13" s="71">
        <f t="shared" si="29"/>
        <v>0</v>
      </c>
      <c r="AJ13" s="71">
        <f t="shared" si="30"/>
        <v>0</v>
      </c>
      <c r="AK13" s="71">
        <f t="shared" si="31"/>
        <v>0</v>
      </c>
      <c r="AL13" s="71">
        <f t="shared" si="32"/>
        <v>0</v>
      </c>
      <c r="AM13" s="71">
        <f t="shared" si="33"/>
        <v>0</v>
      </c>
      <c r="AN13" s="71">
        <f t="shared" si="34"/>
        <v>0</v>
      </c>
      <c r="AO13" s="71">
        <f t="shared" si="35"/>
        <v>0</v>
      </c>
      <c r="AP13" s="71">
        <f t="shared" si="36"/>
        <v>0</v>
      </c>
      <c r="AQ13" s="71">
        <f t="shared" si="37"/>
        <v>0</v>
      </c>
      <c r="AR13" s="71">
        <f t="shared" si="38"/>
        <v>0</v>
      </c>
      <c r="AS13" s="71">
        <f t="shared" si="39"/>
        <v>0</v>
      </c>
      <c r="AT13" s="71">
        <f t="shared" si="40"/>
        <v>0</v>
      </c>
      <c r="AU13" s="306">
        <f t="shared" si="41"/>
        <v>0</v>
      </c>
      <c r="AV13" s="71">
        <f t="shared" si="42"/>
        <v>0</v>
      </c>
      <c r="AW13" s="71">
        <f t="shared" si="43"/>
        <v>0</v>
      </c>
      <c r="AX13" s="71">
        <f t="shared" si="44"/>
        <v>0</v>
      </c>
      <c r="AY13" s="113">
        <f t="shared" si="45"/>
        <v>0</v>
      </c>
      <c r="AZ13" s="113">
        <f t="shared" si="46"/>
        <v>0</v>
      </c>
      <c r="BA13" s="113">
        <f aca="true" t="shared" si="50" ref="BA13:BO16">IF(kontonr=BA$5,$N13,0)</f>
        <v>0</v>
      </c>
      <c r="BB13" s="113">
        <f t="shared" si="50"/>
        <v>0</v>
      </c>
      <c r="BC13" s="113">
        <f t="shared" si="50"/>
        <v>0</v>
      </c>
      <c r="BD13" s="113">
        <f t="shared" si="50"/>
        <v>0</v>
      </c>
      <c r="BE13" s="113">
        <f t="shared" si="50"/>
        <v>0</v>
      </c>
      <c r="BF13" s="113">
        <f t="shared" si="50"/>
        <v>0</v>
      </c>
      <c r="BG13" s="113">
        <f t="shared" si="50"/>
        <v>0</v>
      </c>
      <c r="BH13" s="113">
        <f t="shared" si="50"/>
        <v>0</v>
      </c>
      <c r="BI13" s="113">
        <f t="shared" si="50"/>
        <v>0</v>
      </c>
      <c r="BJ13" s="113">
        <f t="shared" si="50"/>
        <v>0</v>
      </c>
      <c r="BK13" s="113">
        <f t="shared" si="50"/>
        <v>0</v>
      </c>
      <c r="BL13" s="113">
        <f t="shared" si="50"/>
        <v>0</v>
      </c>
      <c r="BM13" s="113">
        <f t="shared" si="50"/>
        <v>0</v>
      </c>
      <c r="BN13" s="113">
        <f t="shared" si="50"/>
        <v>0</v>
      </c>
      <c r="BO13" s="113">
        <f t="shared" si="50"/>
        <v>0</v>
      </c>
      <c r="BP13" s="113">
        <f aca="true" t="shared" si="51" ref="BA13:BP20">IF(kontonr=BP$5,$N13,0)</f>
        <v>0</v>
      </c>
      <c r="BQ13" s="113">
        <f t="shared" si="7"/>
        <v>0</v>
      </c>
      <c r="BR13" s="113">
        <f t="shared" si="7"/>
        <v>0</v>
      </c>
      <c r="BS13" s="113">
        <f t="shared" si="47"/>
        <v>0</v>
      </c>
      <c r="BT13" s="113">
        <f t="shared" si="48"/>
        <v>0</v>
      </c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08">
        <f t="shared" si="49"/>
      </c>
      <c r="CJ13" s="113"/>
      <c r="CK13" s="113"/>
      <c r="CL13" s="113"/>
      <c r="CM13" s="113"/>
    </row>
    <row r="14" spans="1:91" s="112" customFormat="1" ht="15">
      <c r="A14" s="103"/>
      <c r="B14" s="104"/>
      <c r="C14" s="105"/>
      <c r="D14" s="106"/>
      <c r="E14" s="107">
        <f t="shared" si="2"/>
      </c>
      <c r="F14" s="108">
        <f t="shared" si="8"/>
      </c>
      <c r="G14" s="109"/>
      <c r="H14" s="110"/>
      <c r="I14" s="486">
        <f t="shared" si="9"/>
        <v>0</v>
      </c>
      <c r="J14" s="486">
        <f t="shared" si="3"/>
        <v>0</v>
      </c>
      <c r="K14" s="486">
        <f t="shared" si="4"/>
        <v>0</v>
      </c>
      <c r="L14" s="111">
        <f t="shared" si="10"/>
        <v>0</v>
      </c>
      <c r="M14" s="176">
        <f t="shared" si="11"/>
        <v>0</v>
      </c>
      <c r="N14" s="177">
        <f t="shared" si="5"/>
        <v>0</v>
      </c>
      <c r="P14" s="306">
        <f t="shared" si="12"/>
        <v>0</v>
      </c>
      <c r="Q14" s="71">
        <f t="shared" si="13"/>
        <v>0</v>
      </c>
      <c r="R14" s="71">
        <f t="shared" si="14"/>
        <v>0</v>
      </c>
      <c r="S14" s="71">
        <f t="shared" si="15"/>
        <v>0</v>
      </c>
      <c r="T14" s="71">
        <f>IF(kontonr&gt;1499,IF(kontonr&lt;1560,$N14),0)+IF(kontonr&gt;(Kontoplan!P$3-1),IF(kontonr&lt;(Kontoplan!P$3+300),$N14,0),0)</f>
        <v>0</v>
      </c>
      <c r="U14" s="71">
        <f t="shared" si="16"/>
        <v>0</v>
      </c>
      <c r="V14" s="71">
        <f t="shared" si="17"/>
        <v>0</v>
      </c>
      <c r="W14" s="71">
        <f t="shared" si="18"/>
        <v>0</v>
      </c>
      <c r="X14" s="71">
        <f t="shared" si="19"/>
        <v>0</v>
      </c>
      <c r="Y14" s="71">
        <f t="shared" si="20"/>
        <v>0</v>
      </c>
      <c r="Z14" s="71">
        <f>IF(kontonr&gt;2399,IF(kontonr&lt;2500,$N14),0)+IF(kontonr&gt;(Kontoplan!$P$4-1),IF(kontonr&lt;(Kontoplan!$P$4+600),$N14,0),0)</f>
        <v>0</v>
      </c>
      <c r="AA14" s="71">
        <f t="shared" si="21"/>
        <v>0</v>
      </c>
      <c r="AB14" s="71">
        <f t="shared" si="22"/>
        <v>0</v>
      </c>
      <c r="AC14" s="71">
        <f t="shared" si="23"/>
        <v>0</v>
      </c>
      <c r="AD14" s="71">
        <f t="shared" si="24"/>
        <v>0</v>
      </c>
      <c r="AE14" s="71">
        <f t="shared" si="25"/>
        <v>0</v>
      </c>
      <c r="AF14" s="306">
        <f t="shared" si="26"/>
        <v>0</v>
      </c>
      <c r="AG14" s="74">
        <f t="shared" si="27"/>
        <v>0</v>
      </c>
      <c r="AH14" s="71">
        <f t="shared" si="28"/>
        <v>0</v>
      </c>
      <c r="AI14" s="71">
        <f t="shared" si="29"/>
        <v>0</v>
      </c>
      <c r="AJ14" s="71">
        <f t="shared" si="30"/>
        <v>0</v>
      </c>
      <c r="AK14" s="71">
        <f t="shared" si="31"/>
        <v>0</v>
      </c>
      <c r="AL14" s="71">
        <f t="shared" si="32"/>
        <v>0</v>
      </c>
      <c r="AM14" s="71">
        <f t="shared" si="33"/>
        <v>0</v>
      </c>
      <c r="AN14" s="71">
        <f t="shared" si="34"/>
        <v>0</v>
      </c>
      <c r="AO14" s="71">
        <f t="shared" si="35"/>
        <v>0</v>
      </c>
      <c r="AP14" s="71">
        <f t="shared" si="36"/>
        <v>0</v>
      </c>
      <c r="AQ14" s="71">
        <f t="shared" si="37"/>
        <v>0</v>
      </c>
      <c r="AR14" s="71">
        <f t="shared" si="38"/>
        <v>0</v>
      </c>
      <c r="AS14" s="71">
        <f t="shared" si="39"/>
        <v>0</v>
      </c>
      <c r="AT14" s="71">
        <f t="shared" si="40"/>
        <v>0</v>
      </c>
      <c r="AU14" s="306">
        <f t="shared" si="41"/>
        <v>0</v>
      </c>
      <c r="AV14" s="71">
        <f t="shared" si="42"/>
        <v>0</v>
      </c>
      <c r="AW14" s="71">
        <f t="shared" si="43"/>
        <v>0</v>
      </c>
      <c r="AX14" s="71">
        <f t="shared" si="44"/>
        <v>0</v>
      </c>
      <c r="AY14" s="113">
        <f t="shared" si="45"/>
        <v>0</v>
      </c>
      <c r="AZ14" s="113">
        <f t="shared" si="46"/>
        <v>0</v>
      </c>
      <c r="BA14" s="113">
        <f t="shared" si="50"/>
        <v>0</v>
      </c>
      <c r="BB14" s="113">
        <f t="shared" si="50"/>
        <v>0</v>
      </c>
      <c r="BC14" s="113">
        <f t="shared" si="50"/>
        <v>0</v>
      </c>
      <c r="BD14" s="113">
        <f t="shared" si="50"/>
        <v>0</v>
      </c>
      <c r="BE14" s="113">
        <f t="shared" si="50"/>
        <v>0</v>
      </c>
      <c r="BF14" s="113">
        <f t="shared" si="50"/>
        <v>0</v>
      </c>
      <c r="BG14" s="113">
        <f t="shared" si="50"/>
        <v>0</v>
      </c>
      <c r="BH14" s="113">
        <f t="shared" si="50"/>
        <v>0</v>
      </c>
      <c r="BI14" s="113">
        <f t="shared" si="50"/>
        <v>0</v>
      </c>
      <c r="BJ14" s="113">
        <f t="shared" si="50"/>
        <v>0</v>
      </c>
      <c r="BK14" s="113">
        <f t="shared" si="50"/>
        <v>0</v>
      </c>
      <c r="BL14" s="113">
        <f t="shared" si="50"/>
        <v>0</v>
      </c>
      <c r="BM14" s="113">
        <f t="shared" si="50"/>
        <v>0</v>
      </c>
      <c r="BN14" s="113">
        <f t="shared" si="50"/>
        <v>0</v>
      </c>
      <c r="BO14" s="113">
        <f t="shared" si="50"/>
        <v>0</v>
      </c>
      <c r="BP14" s="113">
        <f t="shared" si="51"/>
        <v>0</v>
      </c>
      <c r="BQ14" s="113">
        <f t="shared" si="7"/>
        <v>0</v>
      </c>
      <c r="BR14" s="113">
        <f t="shared" si="7"/>
        <v>0</v>
      </c>
      <c r="BS14" s="113">
        <f t="shared" si="47"/>
        <v>0</v>
      </c>
      <c r="BT14" s="113">
        <f t="shared" si="48"/>
        <v>0</v>
      </c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08">
        <f t="shared" si="49"/>
      </c>
      <c r="CJ14" s="113"/>
      <c r="CK14" s="113"/>
      <c r="CL14" s="113"/>
      <c r="CM14" s="113"/>
    </row>
    <row r="15" spans="1:91" s="112" customFormat="1" ht="15">
      <c r="A15" s="103"/>
      <c r="B15" s="104"/>
      <c r="C15" s="105"/>
      <c r="D15" s="106"/>
      <c r="E15" s="107">
        <f t="shared" si="2"/>
      </c>
      <c r="F15" s="108">
        <f t="shared" si="8"/>
      </c>
      <c r="G15" s="109"/>
      <c r="H15" s="110"/>
      <c r="I15" s="486">
        <f t="shared" si="9"/>
        <v>0</v>
      </c>
      <c r="J15" s="486">
        <f t="shared" si="3"/>
        <v>0</v>
      </c>
      <c r="K15" s="486">
        <f t="shared" si="4"/>
        <v>0</v>
      </c>
      <c r="L15" s="111">
        <f t="shared" si="10"/>
        <v>0</v>
      </c>
      <c r="M15" s="176">
        <f t="shared" si="11"/>
        <v>0</v>
      </c>
      <c r="N15" s="177">
        <f t="shared" si="5"/>
        <v>0</v>
      </c>
      <c r="P15" s="306">
        <f t="shared" si="12"/>
        <v>0</v>
      </c>
      <c r="Q15" s="71">
        <f t="shared" si="13"/>
        <v>0</v>
      </c>
      <c r="R15" s="71">
        <f t="shared" si="14"/>
        <v>0</v>
      </c>
      <c r="S15" s="71">
        <f t="shared" si="15"/>
        <v>0</v>
      </c>
      <c r="T15" s="71">
        <f>IF(kontonr&gt;1499,IF(kontonr&lt;1560,$N15),0)+IF(kontonr&gt;(Kontoplan!P$3-1),IF(kontonr&lt;(Kontoplan!P$3+300),$N15,0),0)</f>
        <v>0</v>
      </c>
      <c r="U15" s="71">
        <f t="shared" si="16"/>
        <v>0</v>
      </c>
      <c r="V15" s="71">
        <f t="shared" si="17"/>
        <v>0</v>
      </c>
      <c r="W15" s="71">
        <f t="shared" si="18"/>
        <v>0</v>
      </c>
      <c r="X15" s="71">
        <f t="shared" si="19"/>
        <v>0</v>
      </c>
      <c r="Y15" s="71">
        <f t="shared" si="20"/>
        <v>0</v>
      </c>
      <c r="Z15" s="71">
        <f>IF(kontonr&gt;2399,IF(kontonr&lt;2500,$N15),0)+IF(kontonr&gt;(Kontoplan!$P$4-1),IF(kontonr&lt;(Kontoplan!$P$4+600),$N15,0),0)</f>
        <v>0</v>
      </c>
      <c r="AA15" s="71">
        <f t="shared" si="21"/>
        <v>0</v>
      </c>
      <c r="AB15" s="71">
        <f t="shared" si="22"/>
        <v>0</v>
      </c>
      <c r="AC15" s="71">
        <f t="shared" si="23"/>
        <v>0</v>
      </c>
      <c r="AD15" s="71">
        <f t="shared" si="24"/>
        <v>0</v>
      </c>
      <c r="AE15" s="71">
        <f t="shared" si="25"/>
        <v>0</v>
      </c>
      <c r="AF15" s="306">
        <f t="shared" si="26"/>
        <v>0</v>
      </c>
      <c r="AG15" s="74">
        <f t="shared" si="27"/>
        <v>0</v>
      </c>
      <c r="AH15" s="71">
        <f t="shared" si="28"/>
        <v>0</v>
      </c>
      <c r="AI15" s="71">
        <f t="shared" si="29"/>
        <v>0</v>
      </c>
      <c r="AJ15" s="71">
        <f t="shared" si="30"/>
        <v>0</v>
      </c>
      <c r="AK15" s="71">
        <f t="shared" si="31"/>
        <v>0</v>
      </c>
      <c r="AL15" s="71">
        <f t="shared" si="32"/>
        <v>0</v>
      </c>
      <c r="AM15" s="71">
        <f t="shared" si="33"/>
        <v>0</v>
      </c>
      <c r="AN15" s="71">
        <f t="shared" si="34"/>
        <v>0</v>
      </c>
      <c r="AO15" s="71">
        <f t="shared" si="35"/>
        <v>0</v>
      </c>
      <c r="AP15" s="71">
        <f t="shared" si="36"/>
        <v>0</v>
      </c>
      <c r="AQ15" s="71">
        <f t="shared" si="37"/>
        <v>0</v>
      </c>
      <c r="AR15" s="71">
        <f t="shared" si="38"/>
        <v>0</v>
      </c>
      <c r="AS15" s="71">
        <f t="shared" si="39"/>
        <v>0</v>
      </c>
      <c r="AT15" s="71">
        <f t="shared" si="40"/>
        <v>0</v>
      </c>
      <c r="AU15" s="306">
        <f t="shared" si="41"/>
        <v>0</v>
      </c>
      <c r="AV15" s="71">
        <f t="shared" si="42"/>
        <v>0</v>
      </c>
      <c r="AW15" s="71">
        <f t="shared" si="43"/>
        <v>0</v>
      </c>
      <c r="AX15" s="71">
        <f t="shared" si="44"/>
        <v>0</v>
      </c>
      <c r="AY15" s="113">
        <f t="shared" si="45"/>
        <v>0</v>
      </c>
      <c r="AZ15" s="113">
        <f t="shared" si="46"/>
        <v>0</v>
      </c>
      <c r="BA15" s="113">
        <f t="shared" si="50"/>
        <v>0</v>
      </c>
      <c r="BB15" s="113">
        <f t="shared" si="50"/>
        <v>0</v>
      </c>
      <c r="BC15" s="113">
        <f t="shared" si="50"/>
        <v>0</v>
      </c>
      <c r="BD15" s="113">
        <f t="shared" si="50"/>
        <v>0</v>
      </c>
      <c r="BE15" s="113">
        <f t="shared" si="50"/>
        <v>0</v>
      </c>
      <c r="BF15" s="113">
        <f t="shared" si="50"/>
        <v>0</v>
      </c>
      <c r="BG15" s="113">
        <f t="shared" si="50"/>
        <v>0</v>
      </c>
      <c r="BH15" s="113">
        <f t="shared" si="50"/>
        <v>0</v>
      </c>
      <c r="BI15" s="113">
        <f t="shared" si="50"/>
        <v>0</v>
      </c>
      <c r="BJ15" s="113">
        <f t="shared" si="50"/>
        <v>0</v>
      </c>
      <c r="BK15" s="113">
        <f t="shared" si="50"/>
        <v>0</v>
      </c>
      <c r="BL15" s="113">
        <f t="shared" si="50"/>
        <v>0</v>
      </c>
      <c r="BM15" s="113">
        <f t="shared" si="50"/>
        <v>0</v>
      </c>
      <c r="BN15" s="113">
        <f t="shared" si="50"/>
        <v>0</v>
      </c>
      <c r="BO15" s="113">
        <f t="shared" si="50"/>
        <v>0</v>
      </c>
      <c r="BP15" s="113">
        <f t="shared" si="51"/>
        <v>0</v>
      </c>
      <c r="BQ15" s="113">
        <f t="shared" si="7"/>
        <v>0</v>
      </c>
      <c r="BR15" s="113">
        <f t="shared" si="7"/>
        <v>0</v>
      </c>
      <c r="BS15" s="113">
        <f t="shared" si="47"/>
        <v>0</v>
      </c>
      <c r="BT15" s="113">
        <f t="shared" si="48"/>
        <v>0</v>
      </c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08">
        <f t="shared" si="49"/>
      </c>
      <c r="CJ15" s="113"/>
      <c r="CK15" s="113"/>
      <c r="CL15" s="113"/>
      <c r="CM15" s="113"/>
    </row>
    <row r="16" spans="1:91" s="112" customFormat="1" ht="15">
      <c r="A16" s="103"/>
      <c r="B16" s="104"/>
      <c r="C16" s="105"/>
      <c r="D16" s="106"/>
      <c r="E16" s="107">
        <f t="shared" si="2"/>
      </c>
      <c r="F16" s="108">
        <f t="shared" si="8"/>
      </c>
      <c r="G16" s="109"/>
      <c r="H16" s="110"/>
      <c r="I16" s="486">
        <f t="shared" si="9"/>
        <v>0</v>
      </c>
      <c r="J16" s="486">
        <f t="shared" si="3"/>
        <v>0</v>
      </c>
      <c r="K16" s="486">
        <f t="shared" si="4"/>
        <v>0</v>
      </c>
      <c r="L16" s="111">
        <f t="shared" si="10"/>
        <v>0</v>
      </c>
      <c r="M16" s="176">
        <f t="shared" si="11"/>
        <v>0</v>
      </c>
      <c r="N16" s="177">
        <f t="shared" si="5"/>
        <v>0</v>
      </c>
      <c r="P16" s="306">
        <f t="shared" si="12"/>
        <v>0</v>
      </c>
      <c r="Q16" s="71">
        <f t="shared" si="13"/>
        <v>0</v>
      </c>
      <c r="R16" s="71">
        <f t="shared" si="14"/>
        <v>0</v>
      </c>
      <c r="S16" s="71">
        <f t="shared" si="15"/>
        <v>0</v>
      </c>
      <c r="T16" s="71">
        <f>IF(kontonr&gt;1499,IF(kontonr&lt;1560,$N16),0)+IF(kontonr&gt;(Kontoplan!P$3-1),IF(kontonr&lt;(Kontoplan!P$3+300),$N16,0),0)</f>
        <v>0</v>
      </c>
      <c r="U16" s="71">
        <f t="shared" si="16"/>
        <v>0</v>
      </c>
      <c r="V16" s="71">
        <f t="shared" si="17"/>
        <v>0</v>
      </c>
      <c r="W16" s="71">
        <f t="shared" si="18"/>
        <v>0</v>
      </c>
      <c r="X16" s="71">
        <f t="shared" si="19"/>
        <v>0</v>
      </c>
      <c r="Y16" s="71">
        <f t="shared" si="20"/>
        <v>0</v>
      </c>
      <c r="Z16" s="71">
        <f>IF(kontonr&gt;2399,IF(kontonr&lt;2500,$N16),0)+IF(kontonr&gt;(Kontoplan!$P$4-1),IF(kontonr&lt;(Kontoplan!$P$4+600),$N16,0),0)</f>
        <v>0</v>
      </c>
      <c r="AA16" s="71">
        <f t="shared" si="21"/>
        <v>0</v>
      </c>
      <c r="AB16" s="71">
        <f t="shared" si="22"/>
        <v>0</v>
      </c>
      <c r="AC16" s="71">
        <f t="shared" si="23"/>
        <v>0</v>
      </c>
      <c r="AD16" s="71">
        <f t="shared" si="24"/>
        <v>0</v>
      </c>
      <c r="AE16" s="71">
        <f t="shared" si="25"/>
        <v>0</v>
      </c>
      <c r="AF16" s="306">
        <f t="shared" si="26"/>
        <v>0</v>
      </c>
      <c r="AG16" s="74">
        <f t="shared" si="27"/>
        <v>0</v>
      </c>
      <c r="AH16" s="71">
        <f t="shared" si="28"/>
        <v>0</v>
      </c>
      <c r="AI16" s="71">
        <f t="shared" si="29"/>
        <v>0</v>
      </c>
      <c r="AJ16" s="71">
        <f t="shared" si="30"/>
        <v>0</v>
      </c>
      <c r="AK16" s="71">
        <f t="shared" si="31"/>
        <v>0</v>
      </c>
      <c r="AL16" s="71">
        <f t="shared" si="32"/>
        <v>0</v>
      </c>
      <c r="AM16" s="71">
        <f t="shared" si="33"/>
        <v>0</v>
      </c>
      <c r="AN16" s="71">
        <f t="shared" si="34"/>
        <v>0</v>
      </c>
      <c r="AO16" s="71">
        <f t="shared" si="35"/>
        <v>0</v>
      </c>
      <c r="AP16" s="71">
        <f t="shared" si="36"/>
        <v>0</v>
      </c>
      <c r="AQ16" s="71">
        <f t="shared" si="37"/>
        <v>0</v>
      </c>
      <c r="AR16" s="71">
        <f t="shared" si="38"/>
        <v>0</v>
      </c>
      <c r="AS16" s="71">
        <f t="shared" si="39"/>
        <v>0</v>
      </c>
      <c r="AT16" s="71">
        <f t="shared" si="40"/>
        <v>0</v>
      </c>
      <c r="AU16" s="306">
        <f t="shared" si="41"/>
        <v>0</v>
      </c>
      <c r="AV16" s="71">
        <f t="shared" si="42"/>
        <v>0</v>
      </c>
      <c r="AW16" s="71">
        <f t="shared" si="43"/>
        <v>0</v>
      </c>
      <c r="AX16" s="71">
        <f t="shared" si="44"/>
        <v>0</v>
      </c>
      <c r="AY16" s="113">
        <f t="shared" si="45"/>
        <v>0</v>
      </c>
      <c r="AZ16" s="113">
        <f t="shared" si="46"/>
        <v>0</v>
      </c>
      <c r="BA16" s="113">
        <f t="shared" si="50"/>
        <v>0</v>
      </c>
      <c r="BB16" s="113">
        <f t="shared" si="50"/>
        <v>0</v>
      </c>
      <c r="BC16" s="113">
        <f t="shared" si="50"/>
        <v>0</v>
      </c>
      <c r="BD16" s="113">
        <f t="shared" si="50"/>
        <v>0</v>
      </c>
      <c r="BE16" s="113">
        <f t="shared" si="50"/>
        <v>0</v>
      </c>
      <c r="BF16" s="113">
        <f t="shared" si="50"/>
        <v>0</v>
      </c>
      <c r="BG16" s="113">
        <f t="shared" si="50"/>
        <v>0</v>
      </c>
      <c r="BH16" s="113">
        <f t="shared" si="50"/>
        <v>0</v>
      </c>
      <c r="BI16" s="113">
        <f t="shared" si="50"/>
        <v>0</v>
      </c>
      <c r="BJ16" s="113">
        <f t="shared" si="50"/>
        <v>0</v>
      </c>
      <c r="BK16" s="113">
        <f t="shared" si="50"/>
        <v>0</v>
      </c>
      <c r="BL16" s="113">
        <f t="shared" si="50"/>
        <v>0</v>
      </c>
      <c r="BM16" s="113">
        <f t="shared" si="50"/>
        <v>0</v>
      </c>
      <c r="BN16" s="113">
        <f t="shared" si="50"/>
        <v>0</v>
      </c>
      <c r="BO16" s="113">
        <f t="shared" si="50"/>
        <v>0</v>
      </c>
      <c r="BP16" s="113">
        <f t="shared" si="51"/>
        <v>0</v>
      </c>
      <c r="BQ16" s="113">
        <f t="shared" si="7"/>
        <v>0</v>
      </c>
      <c r="BR16" s="113">
        <f t="shared" si="7"/>
        <v>0</v>
      </c>
      <c r="BS16" s="113">
        <f t="shared" si="47"/>
        <v>0</v>
      </c>
      <c r="BT16" s="113">
        <f t="shared" si="48"/>
        <v>0</v>
      </c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08">
        <f t="shared" si="49"/>
      </c>
      <c r="CJ16" s="113"/>
      <c r="CK16" s="113"/>
      <c r="CL16" s="113"/>
      <c r="CM16" s="113"/>
    </row>
    <row r="17" spans="1:91" s="112" customFormat="1" ht="15">
      <c r="A17" s="103"/>
      <c r="B17" s="104"/>
      <c r="C17" s="105"/>
      <c r="D17" s="106"/>
      <c r="E17" s="107">
        <f t="shared" si="2"/>
      </c>
      <c r="F17" s="108">
        <f t="shared" si="8"/>
      </c>
      <c r="G17" s="109"/>
      <c r="H17" s="110"/>
      <c r="I17" s="486">
        <f t="shared" si="9"/>
        <v>0</v>
      </c>
      <c r="J17" s="486">
        <f t="shared" si="3"/>
        <v>0</v>
      </c>
      <c r="K17" s="486">
        <f t="shared" si="4"/>
        <v>0</v>
      </c>
      <c r="L17" s="111">
        <f t="shared" si="10"/>
        <v>0</v>
      </c>
      <c r="M17" s="176">
        <f t="shared" si="11"/>
        <v>0</v>
      </c>
      <c r="N17" s="177">
        <f t="shared" si="5"/>
        <v>0</v>
      </c>
      <c r="P17" s="306">
        <f t="shared" si="12"/>
        <v>0</v>
      </c>
      <c r="Q17" s="71">
        <f t="shared" si="13"/>
        <v>0</v>
      </c>
      <c r="R17" s="71">
        <f t="shared" si="14"/>
        <v>0</v>
      </c>
      <c r="S17" s="71">
        <f t="shared" si="15"/>
        <v>0</v>
      </c>
      <c r="T17" s="71">
        <f>IF(kontonr&gt;1499,IF(kontonr&lt;1560,$N17),0)+IF(kontonr&gt;(Kontoplan!P$3-1),IF(kontonr&lt;(Kontoplan!P$3+300),$N17,0),0)</f>
        <v>0</v>
      </c>
      <c r="U17" s="71">
        <f t="shared" si="16"/>
        <v>0</v>
      </c>
      <c r="V17" s="71">
        <f t="shared" si="17"/>
        <v>0</v>
      </c>
      <c r="W17" s="71">
        <f t="shared" si="18"/>
        <v>0</v>
      </c>
      <c r="X17" s="71">
        <f t="shared" si="19"/>
        <v>0</v>
      </c>
      <c r="Y17" s="71">
        <f t="shared" si="20"/>
        <v>0</v>
      </c>
      <c r="Z17" s="71">
        <f>IF(kontonr&gt;2399,IF(kontonr&lt;2500,$N17),0)+IF(kontonr&gt;(Kontoplan!$P$4-1),IF(kontonr&lt;(Kontoplan!$P$4+600),$N17,0),0)</f>
        <v>0</v>
      </c>
      <c r="AA17" s="71">
        <f t="shared" si="21"/>
        <v>0</v>
      </c>
      <c r="AB17" s="71">
        <f t="shared" si="22"/>
        <v>0</v>
      </c>
      <c r="AC17" s="71">
        <f t="shared" si="23"/>
        <v>0</v>
      </c>
      <c r="AD17" s="71">
        <f t="shared" si="24"/>
        <v>0</v>
      </c>
      <c r="AE17" s="71">
        <f t="shared" si="25"/>
        <v>0</v>
      </c>
      <c r="AF17" s="306">
        <f t="shared" si="26"/>
        <v>0</v>
      </c>
      <c r="AG17" s="74">
        <f t="shared" si="27"/>
        <v>0</v>
      </c>
      <c r="AH17" s="71">
        <f t="shared" si="28"/>
        <v>0</v>
      </c>
      <c r="AI17" s="71">
        <f t="shared" si="29"/>
        <v>0</v>
      </c>
      <c r="AJ17" s="71">
        <f t="shared" si="30"/>
        <v>0</v>
      </c>
      <c r="AK17" s="71">
        <f t="shared" si="31"/>
        <v>0</v>
      </c>
      <c r="AL17" s="71">
        <f t="shared" si="32"/>
        <v>0</v>
      </c>
      <c r="AM17" s="71">
        <f t="shared" si="33"/>
        <v>0</v>
      </c>
      <c r="AN17" s="71">
        <f t="shared" si="34"/>
        <v>0</v>
      </c>
      <c r="AO17" s="71">
        <f t="shared" si="35"/>
        <v>0</v>
      </c>
      <c r="AP17" s="71">
        <f t="shared" si="36"/>
        <v>0</v>
      </c>
      <c r="AQ17" s="71">
        <f t="shared" si="37"/>
        <v>0</v>
      </c>
      <c r="AR17" s="71">
        <f t="shared" si="38"/>
        <v>0</v>
      </c>
      <c r="AS17" s="71">
        <f t="shared" si="39"/>
        <v>0</v>
      </c>
      <c r="AT17" s="71">
        <f t="shared" si="40"/>
        <v>0</v>
      </c>
      <c r="AU17" s="306">
        <f t="shared" si="41"/>
        <v>0</v>
      </c>
      <c r="AV17" s="71">
        <f t="shared" si="42"/>
        <v>0</v>
      </c>
      <c r="AW17" s="71">
        <f t="shared" si="43"/>
        <v>0</v>
      </c>
      <c r="AX17" s="71">
        <f t="shared" si="44"/>
        <v>0</v>
      </c>
      <c r="AY17" s="113">
        <f t="shared" si="45"/>
        <v>0</v>
      </c>
      <c r="AZ17" s="113">
        <f t="shared" si="46"/>
        <v>0</v>
      </c>
      <c r="BA17" s="113">
        <f t="shared" si="51"/>
        <v>0</v>
      </c>
      <c r="BB17" s="113">
        <f t="shared" si="51"/>
        <v>0</v>
      </c>
      <c r="BC17" s="113">
        <f t="shared" si="51"/>
        <v>0</v>
      </c>
      <c r="BD17" s="113">
        <f t="shared" si="51"/>
        <v>0</v>
      </c>
      <c r="BE17" s="113">
        <f t="shared" si="51"/>
        <v>0</v>
      </c>
      <c r="BF17" s="113">
        <f t="shared" si="51"/>
        <v>0</v>
      </c>
      <c r="BG17" s="113">
        <f t="shared" si="51"/>
        <v>0</v>
      </c>
      <c r="BH17" s="113">
        <f t="shared" si="51"/>
        <v>0</v>
      </c>
      <c r="BI17" s="113">
        <f t="shared" si="51"/>
        <v>0</v>
      </c>
      <c r="BJ17" s="113">
        <f t="shared" si="51"/>
        <v>0</v>
      </c>
      <c r="BK17" s="113">
        <f t="shared" si="51"/>
        <v>0</v>
      </c>
      <c r="BL17" s="113">
        <f t="shared" si="51"/>
        <v>0</v>
      </c>
      <c r="BM17" s="113">
        <f t="shared" si="51"/>
        <v>0</v>
      </c>
      <c r="BN17" s="113">
        <f t="shared" si="51"/>
        <v>0</v>
      </c>
      <c r="BO17" s="113">
        <f t="shared" si="51"/>
        <v>0</v>
      </c>
      <c r="BP17" s="113">
        <f t="shared" si="51"/>
        <v>0</v>
      </c>
      <c r="BQ17" s="113">
        <f t="shared" si="7"/>
        <v>0</v>
      </c>
      <c r="BR17" s="113">
        <f t="shared" si="7"/>
        <v>0</v>
      </c>
      <c r="BS17" s="113">
        <f t="shared" si="47"/>
        <v>0</v>
      </c>
      <c r="BT17" s="113">
        <f t="shared" si="48"/>
        <v>0</v>
      </c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08">
        <f t="shared" si="49"/>
      </c>
      <c r="CJ17" s="113"/>
      <c r="CK17" s="113"/>
      <c r="CL17" s="113"/>
      <c r="CM17" s="113"/>
    </row>
    <row r="18" spans="1:91" s="112" customFormat="1" ht="15">
      <c r="A18" s="103"/>
      <c r="B18" s="104"/>
      <c r="C18" s="105"/>
      <c r="D18" s="106"/>
      <c r="E18" s="107">
        <f t="shared" si="2"/>
      </c>
      <c r="F18" s="108">
        <f t="shared" si="8"/>
      </c>
      <c r="G18" s="109"/>
      <c r="H18" s="110"/>
      <c r="I18" s="486">
        <f t="shared" si="9"/>
        <v>0</v>
      </c>
      <c r="J18" s="486">
        <f t="shared" si="3"/>
        <v>0</v>
      </c>
      <c r="K18" s="486">
        <f t="shared" si="4"/>
        <v>0</v>
      </c>
      <c r="L18" s="111">
        <f t="shared" si="10"/>
        <v>0</v>
      </c>
      <c r="M18" s="176">
        <f t="shared" si="11"/>
        <v>0</v>
      </c>
      <c r="N18" s="177">
        <f t="shared" si="5"/>
        <v>0</v>
      </c>
      <c r="P18" s="306">
        <f t="shared" si="12"/>
        <v>0</v>
      </c>
      <c r="Q18" s="71">
        <f t="shared" si="13"/>
        <v>0</v>
      </c>
      <c r="R18" s="71">
        <f t="shared" si="14"/>
        <v>0</v>
      </c>
      <c r="S18" s="71">
        <f t="shared" si="15"/>
        <v>0</v>
      </c>
      <c r="T18" s="71">
        <f>IF(kontonr&gt;1499,IF(kontonr&lt;1560,$N18),0)+IF(kontonr&gt;(Kontoplan!P$3-1),IF(kontonr&lt;(Kontoplan!P$3+300),$N18,0),0)</f>
        <v>0</v>
      </c>
      <c r="U18" s="71">
        <f t="shared" si="16"/>
        <v>0</v>
      </c>
      <c r="V18" s="71">
        <f t="shared" si="17"/>
        <v>0</v>
      </c>
      <c r="W18" s="71">
        <f t="shared" si="18"/>
        <v>0</v>
      </c>
      <c r="X18" s="71">
        <f t="shared" si="19"/>
        <v>0</v>
      </c>
      <c r="Y18" s="71">
        <f t="shared" si="20"/>
        <v>0</v>
      </c>
      <c r="Z18" s="71">
        <f>IF(kontonr&gt;2399,IF(kontonr&lt;2500,$N18),0)+IF(kontonr&gt;(Kontoplan!$P$4-1),IF(kontonr&lt;(Kontoplan!$P$4+600),$N18,0),0)</f>
        <v>0</v>
      </c>
      <c r="AA18" s="71">
        <f t="shared" si="21"/>
        <v>0</v>
      </c>
      <c r="AB18" s="71">
        <f t="shared" si="22"/>
        <v>0</v>
      </c>
      <c r="AC18" s="71">
        <f t="shared" si="23"/>
        <v>0</v>
      </c>
      <c r="AD18" s="71">
        <f t="shared" si="24"/>
        <v>0</v>
      </c>
      <c r="AE18" s="71">
        <f t="shared" si="25"/>
        <v>0</v>
      </c>
      <c r="AF18" s="306">
        <f t="shared" si="26"/>
        <v>0</v>
      </c>
      <c r="AG18" s="74">
        <f t="shared" si="27"/>
        <v>0</v>
      </c>
      <c r="AH18" s="71">
        <f t="shared" si="28"/>
        <v>0</v>
      </c>
      <c r="AI18" s="71">
        <f t="shared" si="29"/>
        <v>0</v>
      </c>
      <c r="AJ18" s="71">
        <f t="shared" si="30"/>
        <v>0</v>
      </c>
      <c r="AK18" s="71">
        <f t="shared" si="31"/>
        <v>0</v>
      </c>
      <c r="AL18" s="71">
        <f t="shared" si="32"/>
        <v>0</v>
      </c>
      <c r="AM18" s="71">
        <f t="shared" si="33"/>
        <v>0</v>
      </c>
      <c r="AN18" s="71">
        <f t="shared" si="34"/>
        <v>0</v>
      </c>
      <c r="AO18" s="71">
        <f t="shared" si="35"/>
        <v>0</v>
      </c>
      <c r="AP18" s="71">
        <f t="shared" si="36"/>
        <v>0</v>
      </c>
      <c r="AQ18" s="71">
        <f t="shared" si="37"/>
        <v>0</v>
      </c>
      <c r="AR18" s="71">
        <f t="shared" si="38"/>
        <v>0</v>
      </c>
      <c r="AS18" s="71">
        <f t="shared" si="39"/>
        <v>0</v>
      </c>
      <c r="AT18" s="71">
        <f t="shared" si="40"/>
        <v>0</v>
      </c>
      <c r="AU18" s="306">
        <f t="shared" si="41"/>
        <v>0</v>
      </c>
      <c r="AV18" s="71">
        <f t="shared" si="42"/>
        <v>0</v>
      </c>
      <c r="AW18" s="71">
        <f t="shared" si="43"/>
        <v>0</v>
      </c>
      <c r="AX18" s="71">
        <f t="shared" si="44"/>
        <v>0</v>
      </c>
      <c r="AY18" s="113">
        <f t="shared" si="45"/>
        <v>0</v>
      </c>
      <c r="AZ18" s="113">
        <f t="shared" si="46"/>
        <v>0</v>
      </c>
      <c r="BA18" s="113">
        <f t="shared" si="51"/>
        <v>0</v>
      </c>
      <c r="BB18" s="113">
        <f t="shared" si="51"/>
        <v>0</v>
      </c>
      <c r="BC18" s="113">
        <f t="shared" si="51"/>
        <v>0</v>
      </c>
      <c r="BD18" s="113">
        <f t="shared" si="51"/>
        <v>0</v>
      </c>
      <c r="BE18" s="113">
        <f t="shared" si="51"/>
        <v>0</v>
      </c>
      <c r="BF18" s="113">
        <f t="shared" si="51"/>
        <v>0</v>
      </c>
      <c r="BG18" s="113">
        <f t="shared" si="51"/>
        <v>0</v>
      </c>
      <c r="BH18" s="113">
        <f t="shared" si="51"/>
        <v>0</v>
      </c>
      <c r="BI18" s="113">
        <f t="shared" si="51"/>
        <v>0</v>
      </c>
      <c r="BJ18" s="113">
        <f t="shared" si="51"/>
        <v>0</v>
      </c>
      <c r="BK18" s="113">
        <f t="shared" si="51"/>
        <v>0</v>
      </c>
      <c r="BL18" s="113">
        <f t="shared" si="51"/>
        <v>0</v>
      </c>
      <c r="BM18" s="113">
        <f t="shared" si="51"/>
        <v>0</v>
      </c>
      <c r="BN18" s="113">
        <f t="shared" si="51"/>
        <v>0</v>
      </c>
      <c r="BO18" s="113">
        <f t="shared" si="51"/>
        <v>0</v>
      </c>
      <c r="BP18" s="113">
        <f t="shared" si="51"/>
        <v>0</v>
      </c>
      <c r="BQ18" s="113">
        <f t="shared" si="7"/>
        <v>0</v>
      </c>
      <c r="BR18" s="113">
        <f t="shared" si="7"/>
        <v>0</v>
      </c>
      <c r="BS18" s="113">
        <f t="shared" si="47"/>
        <v>0</v>
      </c>
      <c r="BT18" s="113">
        <f t="shared" si="48"/>
        <v>0</v>
      </c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08">
        <f t="shared" si="49"/>
      </c>
      <c r="CJ18" s="113"/>
      <c r="CK18" s="113"/>
      <c r="CL18" s="113"/>
      <c r="CM18" s="113"/>
    </row>
    <row r="19" spans="1:91" s="112" customFormat="1" ht="15">
      <c r="A19" s="103"/>
      <c r="B19" s="104"/>
      <c r="C19" s="105"/>
      <c r="D19" s="106"/>
      <c r="E19" s="107">
        <f t="shared" si="2"/>
      </c>
      <c r="F19" s="108">
        <f t="shared" si="8"/>
      </c>
      <c r="G19" s="109"/>
      <c r="H19" s="110"/>
      <c r="I19" s="486">
        <f t="shared" si="9"/>
        <v>0</v>
      </c>
      <c r="J19" s="486">
        <f t="shared" si="3"/>
        <v>0</v>
      </c>
      <c r="K19" s="486">
        <f t="shared" si="4"/>
        <v>0</v>
      </c>
      <c r="L19" s="111">
        <f t="shared" si="10"/>
        <v>0</v>
      </c>
      <c r="M19" s="176">
        <f t="shared" si="11"/>
        <v>0</v>
      </c>
      <c r="N19" s="177">
        <f t="shared" si="5"/>
        <v>0</v>
      </c>
      <c r="P19" s="306">
        <f t="shared" si="12"/>
        <v>0</v>
      </c>
      <c r="Q19" s="71">
        <f t="shared" si="13"/>
        <v>0</v>
      </c>
      <c r="R19" s="71">
        <f t="shared" si="14"/>
        <v>0</v>
      </c>
      <c r="S19" s="71">
        <f t="shared" si="15"/>
        <v>0</v>
      </c>
      <c r="T19" s="71">
        <f>IF(kontonr&gt;1499,IF(kontonr&lt;1560,$N19),0)+IF(kontonr&gt;(Kontoplan!P$3-1),IF(kontonr&lt;(Kontoplan!P$3+300),$N19,0),0)</f>
        <v>0</v>
      </c>
      <c r="U19" s="71">
        <f t="shared" si="16"/>
        <v>0</v>
      </c>
      <c r="V19" s="71">
        <f t="shared" si="17"/>
        <v>0</v>
      </c>
      <c r="W19" s="71">
        <f t="shared" si="18"/>
        <v>0</v>
      </c>
      <c r="X19" s="71">
        <f t="shared" si="19"/>
        <v>0</v>
      </c>
      <c r="Y19" s="71">
        <f t="shared" si="20"/>
        <v>0</v>
      </c>
      <c r="Z19" s="71">
        <f>IF(kontonr&gt;2399,IF(kontonr&lt;2500,$N19),0)+IF(kontonr&gt;(Kontoplan!$P$4-1),IF(kontonr&lt;(Kontoplan!$P$4+600),$N19,0),0)</f>
        <v>0</v>
      </c>
      <c r="AA19" s="71">
        <f t="shared" si="21"/>
        <v>0</v>
      </c>
      <c r="AB19" s="71">
        <f t="shared" si="22"/>
        <v>0</v>
      </c>
      <c r="AC19" s="71">
        <f t="shared" si="23"/>
        <v>0</v>
      </c>
      <c r="AD19" s="71">
        <f t="shared" si="24"/>
        <v>0</v>
      </c>
      <c r="AE19" s="71">
        <f t="shared" si="25"/>
        <v>0</v>
      </c>
      <c r="AF19" s="306">
        <f t="shared" si="26"/>
        <v>0</v>
      </c>
      <c r="AG19" s="74">
        <f t="shared" si="27"/>
        <v>0</v>
      </c>
      <c r="AH19" s="71">
        <f t="shared" si="28"/>
        <v>0</v>
      </c>
      <c r="AI19" s="71">
        <f t="shared" si="29"/>
        <v>0</v>
      </c>
      <c r="AJ19" s="71">
        <f t="shared" si="30"/>
        <v>0</v>
      </c>
      <c r="AK19" s="71">
        <f t="shared" si="31"/>
        <v>0</v>
      </c>
      <c r="AL19" s="71">
        <f t="shared" si="32"/>
        <v>0</v>
      </c>
      <c r="AM19" s="71">
        <f t="shared" si="33"/>
        <v>0</v>
      </c>
      <c r="AN19" s="71">
        <f t="shared" si="34"/>
        <v>0</v>
      </c>
      <c r="AO19" s="71">
        <f t="shared" si="35"/>
        <v>0</v>
      </c>
      <c r="AP19" s="71">
        <f t="shared" si="36"/>
        <v>0</v>
      </c>
      <c r="AQ19" s="71">
        <f t="shared" si="37"/>
        <v>0</v>
      </c>
      <c r="AR19" s="71">
        <f t="shared" si="38"/>
        <v>0</v>
      </c>
      <c r="AS19" s="71">
        <f t="shared" si="39"/>
        <v>0</v>
      </c>
      <c r="AT19" s="71">
        <f t="shared" si="40"/>
        <v>0</v>
      </c>
      <c r="AU19" s="306">
        <f t="shared" si="41"/>
        <v>0</v>
      </c>
      <c r="AV19" s="71">
        <f t="shared" si="42"/>
        <v>0</v>
      </c>
      <c r="AW19" s="71">
        <f t="shared" si="43"/>
        <v>0</v>
      </c>
      <c r="AX19" s="71">
        <f t="shared" si="44"/>
        <v>0</v>
      </c>
      <c r="AY19" s="113">
        <f t="shared" si="45"/>
        <v>0</v>
      </c>
      <c r="AZ19" s="113">
        <f t="shared" si="46"/>
        <v>0</v>
      </c>
      <c r="BA19" s="113">
        <f t="shared" si="51"/>
        <v>0</v>
      </c>
      <c r="BB19" s="113">
        <f t="shared" si="51"/>
        <v>0</v>
      </c>
      <c r="BC19" s="113">
        <f t="shared" si="51"/>
        <v>0</v>
      </c>
      <c r="BD19" s="113">
        <f t="shared" si="51"/>
        <v>0</v>
      </c>
      <c r="BE19" s="113">
        <f t="shared" si="51"/>
        <v>0</v>
      </c>
      <c r="BF19" s="113">
        <f t="shared" si="51"/>
        <v>0</v>
      </c>
      <c r="BG19" s="113">
        <f t="shared" si="51"/>
        <v>0</v>
      </c>
      <c r="BH19" s="113">
        <f t="shared" si="51"/>
        <v>0</v>
      </c>
      <c r="BI19" s="113">
        <f t="shared" si="51"/>
        <v>0</v>
      </c>
      <c r="BJ19" s="113">
        <f t="shared" si="51"/>
        <v>0</v>
      </c>
      <c r="BK19" s="113">
        <f t="shared" si="51"/>
        <v>0</v>
      </c>
      <c r="BL19" s="113">
        <f t="shared" si="51"/>
        <v>0</v>
      </c>
      <c r="BM19" s="113">
        <f t="shared" si="51"/>
        <v>0</v>
      </c>
      <c r="BN19" s="113">
        <f t="shared" si="51"/>
        <v>0</v>
      </c>
      <c r="BO19" s="113">
        <f t="shared" si="51"/>
        <v>0</v>
      </c>
      <c r="BP19" s="113">
        <f t="shared" si="51"/>
        <v>0</v>
      </c>
      <c r="BQ19" s="113">
        <f t="shared" si="7"/>
        <v>0</v>
      </c>
      <c r="BR19" s="113">
        <f t="shared" si="7"/>
        <v>0</v>
      </c>
      <c r="BS19" s="113">
        <f t="shared" si="47"/>
        <v>0</v>
      </c>
      <c r="BT19" s="113">
        <f t="shared" si="48"/>
        <v>0</v>
      </c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08">
        <f t="shared" si="49"/>
      </c>
      <c r="CJ19" s="113"/>
      <c r="CK19" s="113"/>
      <c r="CL19" s="113"/>
      <c r="CM19" s="113"/>
    </row>
    <row r="20" spans="1:91" s="112" customFormat="1" ht="15">
      <c r="A20" s="103"/>
      <c r="B20" s="104"/>
      <c r="C20" s="105"/>
      <c r="D20" s="106"/>
      <c r="E20" s="107">
        <f t="shared" si="2"/>
      </c>
      <c r="F20" s="108">
        <f t="shared" si="8"/>
      </c>
      <c r="G20" s="109"/>
      <c r="H20" s="110"/>
      <c r="I20" s="486">
        <f t="shared" si="9"/>
        <v>0</v>
      </c>
      <c r="J20" s="486">
        <f t="shared" si="3"/>
        <v>0</v>
      </c>
      <c r="K20" s="486">
        <f t="shared" si="4"/>
        <v>0</v>
      </c>
      <c r="L20" s="111">
        <f t="shared" si="10"/>
        <v>0</v>
      </c>
      <c r="M20" s="176">
        <f t="shared" si="11"/>
        <v>0</v>
      </c>
      <c r="N20" s="177">
        <f t="shared" si="5"/>
        <v>0</v>
      </c>
      <c r="P20" s="306">
        <f t="shared" si="12"/>
        <v>0</v>
      </c>
      <c r="Q20" s="71">
        <f t="shared" si="13"/>
        <v>0</v>
      </c>
      <c r="R20" s="71">
        <f t="shared" si="14"/>
        <v>0</v>
      </c>
      <c r="S20" s="71">
        <f t="shared" si="15"/>
        <v>0</v>
      </c>
      <c r="T20" s="71">
        <f>IF(kontonr&gt;1499,IF(kontonr&lt;1560,$N20),0)+IF(kontonr&gt;(Kontoplan!P$3-1),IF(kontonr&lt;(Kontoplan!P$3+300),$N20,0),0)</f>
        <v>0</v>
      </c>
      <c r="U20" s="71">
        <f t="shared" si="16"/>
        <v>0</v>
      </c>
      <c r="V20" s="71">
        <f t="shared" si="17"/>
        <v>0</v>
      </c>
      <c r="W20" s="71">
        <f t="shared" si="18"/>
        <v>0</v>
      </c>
      <c r="X20" s="71">
        <f t="shared" si="19"/>
        <v>0</v>
      </c>
      <c r="Y20" s="71">
        <f t="shared" si="20"/>
        <v>0</v>
      </c>
      <c r="Z20" s="71">
        <f>IF(kontonr&gt;2399,IF(kontonr&lt;2500,$N20),0)+IF(kontonr&gt;(Kontoplan!$P$4-1),IF(kontonr&lt;(Kontoplan!$P$4+600),$N20,0),0)</f>
        <v>0</v>
      </c>
      <c r="AA20" s="71">
        <f t="shared" si="21"/>
        <v>0</v>
      </c>
      <c r="AB20" s="71">
        <f t="shared" si="22"/>
        <v>0</v>
      </c>
      <c r="AC20" s="71">
        <f t="shared" si="23"/>
        <v>0</v>
      </c>
      <c r="AD20" s="71">
        <f t="shared" si="24"/>
        <v>0</v>
      </c>
      <c r="AE20" s="71">
        <f t="shared" si="25"/>
        <v>0</v>
      </c>
      <c r="AF20" s="306">
        <f t="shared" si="26"/>
        <v>0</v>
      </c>
      <c r="AG20" s="74">
        <f t="shared" si="27"/>
        <v>0</v>
      </c>
      <c r="AH20" s="71">
        <f t="shared" si="28"/>
        <v>0</v>
      </c>
      <c r="AI20" s="71">
        <f t="shared" si="29"/>
        <v>0</v>
      </c>
      <c r="AJ20" s="71">
        <f t="shared" si="30"/>
        <v>0</v>
      </c>
      <c r="AK20" s="71">
        <f t="shared" si="31"/>
        <v>0</v>
      </c>
      <c r="AL20" s="71">
        <f t="shared" si="32"/>
        <v>0</v>
      </c>
      <c r="AM20" s="71">
        <f t="shared" si="33"/>
        <v>0</v>
      </c>
      <c r="AN20" s="71">
        <f t="shared" si="34"/>
        <v>0</v>
      </c>
      <c r="AO20" s="71">
        <f t="shared" si="35"/>
        <v>0</v>
      </c>
      <c r="AP20" s="71">
        <f t="shared" si="36"/>
        <v>0</v>
      </c>
      <c r="AQ20" s="71">
        <f t="shared" si="37"/>
        <v>0</v>
      </c>
      <c r="AR20" s="71">
        <f t="shared" si="38"/>
        <v>0</v>
      </c>
      <c r="AS20" s="71">
        <f t="shared" si="39"/>
        <v>0</v>
      </c>
      <c r="AT20" s="71">
        <f t="shared" si="40"/>
        <v>0</v>
      </c>
      <c r="AU20" s="306">
        <f t="shared" si="41"/>
        <v>0</v>
      </c>
      <c r="AV20" s="71">
        <f t="shared" si="42"/>
        <v>0</v>
      </c>
      <c r="AW20" s="71">
        <f t="shared" si="43"/>
        <v>0</v>
      </c>
      <c r="AX20" s="71">
        <f t="shared" si="44"/>
        <v>0</v>
      </c>
      <c r="AY20" s="113">
        <f t="shared" si="45"/>
        <v>0</v>
      </c>
      <c r="AZ20" s="113">
        <f t="shared" si="46"/>
        <v>0</v>
      </c>
      <c r="BA20" s="113">
        <f t="shared" si="51"/>
        <v>0</v>
      </c>
      <c r="BB20" s="113">
        <f t="shared" si="51"/>
        <v>0</v>
      </c>
      <c r="BC20" s="113">
        <f t="shared" si="51"/>
        <v>0</v>
      </c>
      <c r="BD20" s="113">
        <f t="shared" si="51"/>
        <v>0</v>
      </c>
      <c r="BE20" s="113">
        <f t="shared" si="51"/>
        <v>0</v>
      </c>
      <c r="BF20" s="113">
        <f t="shared" si="51"/>
        <v>0</v>
      </c>
      <c r="BG20" s="113">
        <f t="shared" si="51"/>
        <v>0</v>
      </c>
      <c r="BH20" s="113">
        <f t="shared" si="51"/>
        <v>0</v>
      </c>
      <c r="BI20" s="113">
        <f t="shared" si="51"/>
        <v>0</v>
      </c>
      <c r="BJ20" s="113">
        <f t="shared" si="51"/>
        <v>0</v>
      </c>
      <c r="BK20" s="113">
        <f t="shared" si="51"/>
        <v>0</v>
      </c>
      <c r="BL20" s="113">
        <f t="shared" si="51"/>
        <v>0</v>
      </c>
      <c r="BM20" s="113">
        <f t="shared" si="51"/>
        <v>0</v>
      </c>
      <c r="BN20" s="113">
        <f t="shared" si="51"/>
        <v>0</v>
      </c>
      <c r="BO20" s="113">
        <f t="shared" si="51"/>
        <v>0</v>
      </c>
      <c r="BP20" s="113">
        <f t="shared" si="51"/>
        <v>0</v>
      </c>
      <c r="BQ20" s="113">
        <f t="shared" si="7"/>
        <v>0</v>
      </c>
      <c r="BR20" s="113">
        <f t="shared" si="7"/>
        <v>0</v>
      </c>
      <c r="BS20" s="113">
        <f t="shared" si="47"/>
        <v>0</v>
      </c>
      <c r="BT20" s="113">
        <f t="shared" si="48"/>
        <v>0</v>
      </c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08">
        <f t="shared" si="49"/>
      </c>
      <c r="CJ20" s="113"/>
      <c r="CK20" s="113"/>
      <c r="CL20" s="113"/>
      <c r="CM20" s="113"/>
    </row>
    <row r="21" spans="1:91" s="112" customFormat="1" ht="15">
      <c r="A21" s="103"/>
      <c r="B21" s="104"/>
      <c r="C21" s="105"/>
      <c r="D21" s="106"/>
      <c r="E21" s="107">
        <f t="shared" si="2"/>
      </c>
      <c r="F21" s="108">
        <f t="shared" si="8"/>
      </c>
      <c r="G21" s="109"/>
      <c r="H21" s="110"/>
      <c r="I21" s="486">
        <f t="shared" si="9"/>
        <v>0</v>
      </c>
      <c r="J21" s="486">
        <f t="shared" si="3"/>
        <v>0</v>
      </c>
      <c r="K21" s="486">
        <f t="shared" si="4"/>
        <v>0</v>
      </c>
      <c r="L21" s="111">
        <f t="shared" si="10"/>
        <v>0</v>
      </c>
      <c r="M21" s="176">
        <f t="shared" si="11"/>
        <v>0</v>
      </c>
      <c r="N21" s="177">
        <f t="shared" si="5"/>
        <v>0</v>
      </c>
      <c r="P21" s="306">
        <f t="shared" si="12"/>
        <v>0</v>
      </c>
      <c r="Q21" s="71">
        <f t="shared" si="13"/>
        <v>0</v>
      </c>
      <c r="R21" s="71">
        <f t="shared" si="14"/>
        <v>0</v>
      </c>
      <c r="S21" s="71">
        <f t="shared" si="15"/>
        <v>0</v>
      </c>
      <c r="T21" s="71">
        <f>IF(kontonr&gt;1499,IF(kontonr&lt;1560,$N21),0)+IF(kontonr&gt;(Kontoplan!P$3-1),IF(kontonr&lt;(Kontoplan!P$3+300),$N21,0),0)</f>
        <v>0</v>
      </c>
      <c r="U21" s="71">
        <f t="shared" si="16"/>
        <v>0</v>
      </c>
      <c r="V21" s="71">
        <f t="shared" si="17"/>
        <v>0</v>
      </c>
      <c r="W21" s="71">
        <f t="shared" si="18"/>
        <v>0</v>
      </c>
      <c r="X21" s="71">
        <f t="shared" si="19"/>
        <v>0</v>
      </c>
      <c r="Y21" s="71">
        <f t="shared" si="20"/>
        <v>0</v>
      </c>
      <c r="Z21" s="71">
        <f>IF(kontonr&gt;2399,IF(kontonr&lt;2500,$N21),0)+IF(kontonr&gt;(Kontoplan!$P$4-1),IF(kontonr&lt;(Kontoplan!$P$4+600),$N21,0),0)</f>
        <v>0</v>
      </c>
      <c r="AA21" s="71">
        <f t="shared" si="21"/>
        <v>0</v>
      </c>
      <c r="AB21" s="71">
        <f t="shared" si="22"/>
        <v>0</v>
      </c>
      <c r="AC21" s="71">
        <f t="shared" si="23"/>
        <v>0</v>
      </c>
      <c r="AD21" s="71">
        <f t="shared" si="24"/>
        <v>0</v>
      </c>
      <c r="AE21" s="71">
        <f t="shared" si="25"/>
        <v>0</v>
      </c>
      <c r="AF21" s="306">
        <f t="shared" si="26"/>
        <v>0</v>
      </c>
      <c r="AG21" s="74">
        <f t="shared" si="27"/>
        <v>0</v>
      </c>
      <c r="AH21" s="71">
        <f t="shared" si="28"/>
        <v>0</v>
      </c>
      <c r="AI21" s="71">
        <f t="shared" si="29"/>
        <v>0</v>
      </c>
      <c r="AJ21" s="71">
        <f t="shared" si="30"/>
        <v>0</v>
      </c>
      <c r="AK21" s="71">
        <f t="shared" si="31"/>
        <v>0</v>
      </c>
      <c r="AL21" s="71">
        <f t="shared" si="32"/>
        <v>0</v>
      </c>
      <c r="AM21" s="71">
        <f t="shared" si="33"/>
        <v>0</v>
      </c>
      <c r="AN21" s="71">
        <f t="shared" si="34"/>
        <v>0</v>
      </c>
      <c r="AO21" s="71">
        <f t="shared" si="35"/>
        <v>0</v>
      </c>
      <c r="AP21" s="71">
        <f t="shared" si="36"/>
        <v>0</v>
      </c>
      <c r="AQ21" s="71">
        <f t="shared" si="37"/>
        <v>0</v>
      </c>
      <c r="AR21" s="71">
        <f t="shared" si="38"/>
        <v>0</v>
      </c>
      <c r="AS21" s="71">
        <f t="shared" si="39"/>
        <v>0</v>
      </c>
      <c r="AT21" s="71">
        <f t="shared" si="40"/>
        <v>0</v>
      </c>
      <c r="AU21" s="306">
        <f t="shared" si="41"/>
        <v>0</v>
      </c>
      <c r="AV21" s="71">
        <f t="shared" si="42"/>
        <v>0</v>
      </c>
      <c r="AW21" s="71">
        <f t="shared" si="43"/>
        <v>0</v>
      </c>
      <c r="AX21" s="71">
        <f t="shared" si="44"/>
        <v>0</v>
      </c>
      <c r="AY21" s="113">
        <f t="shared" si="45"/>
        <v>0</v>
      </c>
      <c r="AZ21" s="113">
        <f t="shared" si="46"/>
        <v>0</v>
      </c>
      <c r="BA21" s="113">
        <f t="shared" si="6"/>
        <v>0</v>
      </c>
      <c r="BB21" s="113">
        <f t="shared" si="6"/>
        <v>0</v>
      </c>
      <c r="BC21" s="113">
        <f t="shared" si="6"/>
        <v>0</v>
      </c>
      <c r="BD21" s="113">
        <f t="shared" si="6"/>
        <v>0</v>
      </c>
      <c r="BE21" s="113">
        <f t="shared" si="6"/>
        <v>0</v>
      </c>
      <c r="BF21" s="113">
        <f t="shared" si="6"/>
        <v>0</v>
      </c>
      <c r="BG21" s="113">
        <f t="shared" si="6"/>
        <v>0</v>
      </c>
      <c r="BH21" s="113">
        <f t="shared" si="6"/>
        <v>0</v>
      </c>
      <c r="BI21" s="113">
        <f t="shared" si="6"/>
        <v>0</v>
      </c>
      <c r="BJ21" s="113">
        <f t="shared" si="6"/>
        <v>0</v>
      </c>
      <c r="BK21" s="113">
        <f t="shared" si="6"/>
        <v>0</v>
      </c>
      <c r="BL21" s="113">
        <f t="shared" si="6"/>
        <v>0</v>
      </c>
      <c r="BM21" s="113">
        <f t="shared" si="6"/>
        <v>0</v>
      </c>
      <c r="BN21" s="113">
        <f t="shared" si="6"/>
        <v>0</v>
      </c>
      <c r="BO21" s="113">
        <f t="shared" si="6"/>
        <v>0</v>
      </c>
      <c r="BP21" s="113">
        <f t="shared" si="6"/>
        <v>0</v>
      </c>
      <c r="BQ21" s="113">
        <f t="shared" si="7"/>
        <v>0</v>
      </c>
      <c r="BR21" s="113">
        <f t="shared" si="7"/>
        <v>0</v>
      </c>
      <c r="BS21" s="113">
        <f t="shared" si="47"/>
        <v>0</v>
      </c>
      <c r="BT21" s="113">
        <f t="shared" si="48"/>
        <v>0</v>
      </c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08">
        <f t="shared" si="49"/>
      </c>
      <c r="CJ21" s="113"/>
      <c r="CK21" s="113"/>
      <c r="CL21" s="113"/>
      <c r="CM21" s="113"/>
    </row>
    <row r="22" spans="1:91" s="112" customFormat="1" ht="15">
      <c r="A22" s="103"/>
      <c r="B22" s="104"/>
      <c r="C22" s="105"/>
      <c r="D22" s="106"/>
      <c r="E22" s="107">
        <f t="shared" si="2"/>
      </c>
      <c r="F22" s="108">
        <f t="shared" si="8"/>
      </c>
      <c r="G22" s="109"/>
      <c r="H22" s="110"/>
      <c r="I22" s="486">
        <f t="shared" si="9"/>
        <v>0</v>
      </c>
      <c r="J22" s="486">
        <f t="shared" si="3"/>
        <v>0</v>
      </c>
      <c r="K22" s="486">
        <f t="shared" si="4"/>
        <v>0</v>
      </c>
      <c r="L22" s="111">
        <f t="shared" si="10"/>
        <v>0</v>
      </c>
      <c r="M22" s="176">
        <f t="shared" si="11"/>
        <v>0</v>
      </c>
      <c r="N22" s="177">
        <f t="shared" si="5"/>
        <v>0</v>
      </c>
      <c r="P22" s="306">
        <f t="shared" si="12"/>
        <v>0</v>
      </c>
      <c r="Q22" s="71">
        <f t="shared" si="13"/>
        <v>0</v>
      </c>
      <c r="R22" s="71">
        <f t="shared" si="14"/>
        <v>0</v>
      </c>
      <c r="S22" s="71">
        <f t="shared" si="15"/>
        <v>0</v>
      </c>
      <c r="T22" s="71">
        <f>IF(kontonr&gt;1499,IF(kontonr&lt;1560,$N22),0)+IF(kontonr&gt;(Kontoplan!P$3-1),IF(kontonr&lt;(Kontoplan!P$3+300),$N22,0),0)</f>
        <v>0</v>
      </c>
      <c r="U22" s="71">
        <f t="shared" si="16"/>
        <v>0</v>
      </c>
      <c r="V22" s="71">
        <f t="shared" si="17"/>
        <v>0</v>
      </c>
      <c r="W22" s="71">
        <f t="shared" si="18"/>
        <v>0</v>
      </c>
      <c r="X22" s="71">
        <f t="shared" si="19"/>
        <v>0</v>
      </c>
      <c r="Y22" s="71">
        <f t="shared" si="20"/>
        <v>0</v>
      </c>
      <c r="Z22" s="71">
        <f>IF(kontonr&gt;2399,IF(kontonr&lt;2500,$N22),0)+IF(kontonr&gt;(Kontoplan!$P$4-1),IF(kontonr&lt;(Kontoplan!$P$4+600),$N22,0),0)</f>
        <v>0</v>
      </c>
      <c r="AA22" s="71">
        <f t="shared" si="21"/>
        <v>0</v>
      </c>
      <c r="AB22" s="71">
        <f t="shared" si="22"/>
        <v>0</v>
      </c>
      <c r="AC22" s="71">
        <f t="shared" si="23"/>
        <v>0</v>
      </c>
      <c r="AD22" s="71">
        <f t="shared" si="24"/>
        <v>0</v>
      </c>
      <c r="AE22" s="71">
        <f t="shared" si="25"/>
        <v>0</v>
      </c>
      <c r="AF22" s="306">
        <f t="shared" si="26"/>
        <v>0</v>
      </c>
      <c r="AG22" s="74">
        <f t="shared" si="27"/>
        <v>0</v>
      </c>
      <c r="AH22" s="71">
        <f t="shared" si="28"/>
        <v>0</v>
      </c>
      <c r="AI22" s="71">
        <f t="shared" si="29"/>
        <v>0</v>
      </c>
      <c r="AJ22" s="71">
        <f t="shared" si="30"/>
        <v>0</v>
      </c>
      <c r="AK22" s="71">
        <f t="shared" si="31"/>
        <v>0</v>
      </c>
      <c r="AL22" s="71">
        <f t="shared" si="32"/>
        <v>0</v>
      </c>
      <c r="AM22" s="71">
        <f t="shared" si="33"/>
        <v>0</v>
      </c>
      <c r="AN22" s="71">
        <f t="shared" si="34"/>
        <v>0</v>
      </c>
      <c r="AO22" s="71">
        <f t="shared" si="35"/>
        <v>0</v>
      </c>
      <c r="AP22" s="71">
        <f t="shared" si="36"/>
        <v>0</v>
      </c>
      <c r="AQ22" s="71">
        <f t="shared" si="37"/>
        <v>0</v>
      </c>
      <c r="AR22" s="71">
        <f t="shared" si="38"/>
        <v>0</v>
      </c>
      <c r="AS22" s="71">
        <f t="shared" si="39"/>
        <v>0</v>
      </c>
      <c r="AT22" s="71">
        <f t="shared" si="40"/>
        <v>0</v>
      </c>
      <c r="AU22" s="306">
        <f t="shared" si="41"/>
        <v>0</v>
      </c>
      <c r="AV22" s="71">
        <f t="shared" si="42"/>
        <v>0</v>
      </c>
      <c r="AW22" s="71">
        <f t="shared" si="43"/>
        <v>0</v>
      </c>
      <c r="AX22" s="71">
        <f t="shared" si="44"/>
        <v>0</v>
      </c>
      <c r="AY22" s="113">
        <f t="shared" si="45"/>
        <v>0</v>
      </c>
      <c r="AZ22" s="113">
        <f t="shared" si="46"/>
        <v>0</v>
      </c>
      <c r="BA22" s="113">
        <f t="shared" si="6"/>
        <v>0</v>
      </c>
      <c r="BB22" s="113">
        <f t="shared" si="6"/>
        <v>0</v>
      </c>
      <c r="BC22" s="113">
        <f t="shared" si="6"/>
        <v>0</v>
      </c>
      <c r="BD22" s="113">
        <f t="shared" si="6"/>
        <v>0</v>
      </c>
      <c r="BE22" s="113">
        <f t="shared" si="6"/>
        <v>0</v>
      </c>
      <c r="BF22" s="113">
        <f t="shared" si="6"/>
        <v>0</v>
      </c>
      <c r="BG22" s="113">
        <f t="shared" si="6"/>
        <v>0</v>
      </c>
      <c r="BH22" s="113">
        <f t="shared" si="6"/>
        <v>0</v>
      </c>
      <c r="BI22" s="113">
        <f t="shared" si="6"/>
        <v>0</v>
      </c>
      <c r="BJ22" s="113">
        <f t="shared" si="6"/>
        <v>0</v>
      </c>
      <c r="BK22" s="113">
        <f t="shared" si="6"/>
        <v>0</v>
      </c>
      <c r="BL22" s="113">
        <f t="shared" si="6"/>
        <v>0</v>
      </c>
      <c r="BM22" s="113">
        <f t="shared" si="6"/>
        <v>0</v>
      </c>
      <c r="BN22" s="113">
        <f t="shared" si="6"/>
        <v>0</v>
      </c>
      <c r="BO22" s="113">
        <f t="shared" si="6"/>
        <v>0</v>
      </c>
      <c r="BP22" s="113">
        <f t="shared" si="6"/>
        <v>0</v>
      </c>
      <c r="BQ22" s="113">
        <f t="shared" si="7"/>
        <v>0</v>
      </c>
      <c r="BR22" s="113">
        <f t="shared" si="7"/>
        <v>0</v>
      </c>
      <c r="BS22" s="113">
        <f t="shared" si="47"/>
        <v>0</v>
      </c>
      <c r="BT22" s="113">
        <f t="shared" si="48"/>
        <v>0</v>
      </c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08">
        <f t="shared" si="49"/>
      </c>
      <c r="CJ22" s="113"/>
      <c r="CK22" s="113"/>
      <c r="CL22" s="113"/>
      <c r="CM22" s="113"/>
    </row>
    <row r="23" spans="1:91" s="112" customFormat="1" ht="15">
      <c r="A23" s="103"/>
      <c r="B23" s="104"/>
      <c r="C23" s="105"/>
      <c r="D23" s="106"/>
      <c r="E23" s="107">
        <f t="shared" si="2"/>
      </c>
      <c r="F23" s="108">
        <f t="shared" si="8"/>
      </c>
      <c r="G23" s="109"/>
      <c r="H23" s="110"/>
      <c r="I23" s="486">
        <f t="shared" si="9"/>
        <v>0</v>
      </c>
      <c r="J23" s="486">
        <f t="shared" si="3"/>
        <v>0</v>
      </c>
      <c r="K23" s="486">
        <f t="shared" si="4"/>
        <v>0</v>
      </c>
      <c r="L23" s="111">
        <f t="shared" si="10"/>
        <v>0</v>
      </c>
      <c r="M23" s="176">
        <f t="shared" si="11"/>
        <v>0</v>
      </c>
      <c r="N23" s="177">
        <f t="shared" si="5"/>
        <v>0</v>
      </c>
      <c r="P23" s="306">
        <f t="shared" si="12"/>
        <v>0</v>
      </c>
      <c r="Q23" s="71">
        <f t="shared" si="13"/>
        <v>0</v>
      </c>
      <c r="R23" s="71">
        <f t="shared" si="14"/>
        <v>0</v>
      </c>
      <c r="S23" s="71">
        <f t="shared" si="15"/>
        <v>0</v>
      </c>
      <c r="T23" s="71">
        <f>IF(kontonr&gt;1499,IF(kontonr&lt;1560,$N23),0)+IF(kontonr&gt;(Kontoplan!P$3-1),IF(kontonr&lt;(Kontoplan!P$3+300),$N23,0),0)</f>
        <v>0</v>
      </c>
      <c r="U23" s="71">
        <f t="shared" si="16"/>
        <v>0</v>
      </c>
      <c r="V23" s="71">
        <f t="shared" si="17"/>
        <v>0</v>
      </c>
      <c r="W23" s="71">
        <f t="shared" si="18"/>
        <v>0</v>
      </c>
      <c r="X23" s="71">
        <f t="shared" si="19"/>
        <v>0</v>
      </c>
      <c r="Y23" s="71">
        <f t="shared" si="20"/>
        <v>0</v>
      </c>
      <c r="Z23" s="71">
        <f>IF(kontonr&gt;2399,IF(kontonr&lt;2500,$N23),0)+IF(kontonr&gt;(Kontoplan!$P$4-1),IF(kontonr&lt;(Kontoplan!$P$4+600),$N23,0),0)</f>
        <v>0</v>
      </c>
      <c r="AA23" s="71">
        <f t="shared" si="21"/>
        <v>0</v>
      </c>
      <c r="AB23" s="71">
        <f t="shared" si="22"/>
        <v>0</v>
      </c>
      <c r="AC23" s="71">
        <f t="shared" si="23"/>
        <v>0</v>
      </c>
      <c r="AD23" s="71">
        <f t="shared" si="24"/>
        <v>0</v>
      </c>
      <c r="AE23" s="71">
        <f t="shared" si="25"/>
        <v>0</v>
      </c>
      <c r="AF23" s="306">
        <f t="shared" si="26"/>
        <v>0</v>
      </c>
      <c r="AG23" s="74">
        <f t="shared" si="27"/>
        <v>0</v>
      </c>
      <c r="AH23" s="71">
        <f t="shared" si="28"/>
        <v>0</v>
      </c>
      <c r="AI23" s="71">
        <f t="shared" si="29"/>
        <v>0</v>
      </c>
      <c r="AJ23" s="71">
        <f t="shared" si="30"/>
        <v>0</v>
      </c>
      <c r="AK23" s="71">
        <f t="shared" si="31"/>
        <v>0</v>
      </c>
      <c r="AL23" s="71">
        <f t="shared" si="32"/>
        <v>0</v>
      </c>
      <c r="AM23" s="71">
        <f t="shared" si="33"/>
        <v>0</v>
      </c>
      <c r="AN23" s="71">
        <f t="shared" si="34"/>
        <v>0</v>
      </c>
      <c r="AO23" s="71">
        <f t="shared" si="35"/>
        <v>0</v>
      </c>
      <c r="AP23" s="71">
        <f t="shared" si="36"/>
        <v>0</v>
      </c>
      <c r="AQ23" s="71">
        <f t="shared" si="37"/>
        <v>0</v>
      </c>
      <c r="AR23" s="71">
        <f t="shared" si="38"/>
        <v>0</v>
      </c>
      <c r="AS23" s="71">
        <f t="shared" si="39"/>
        <v>0</v>
      </c>
      <c r="AT23" s="71">
        <f t="shared" si="40"/>
        <v>0</v>
      </c>
      <c r="AU23" s="306">
        <f t="shared" si="41"/>
        <v>0</v>
      </c>
      <c r="AV23" s="71">
        <f t="shared" si="42"/>
        <v>0</v>
      </c>
      <c r="AW23" s="71">
        <f t="shared" si="43"/>
        <v>0</v>
      </c>
      <c r="AX23" s="71">
        <f t="shared" si="44"/>
        <v>0</v>
      </c>
      <c r="AY23" s="113">
        <f t="shared" si="45"/>
        <v>0</v>
      </c>
      <c r="AZ23" s="113">
        <f t="shared" si="46"/>
        <v>0</v>
      </c>
      <c r="BA23" s="113">
        <f t="shared" si="6"/>
        <v>0</v>
      </c>
      <c r="BB23" s="113">
        <f t="shared" si="6"/>
        <v>0</v>
      </c>
      <c r="BC23" s="113">
        <f t="shared" si="6"/>
        <v>0</v>
      </c>
      <c r="BD23" s="113">
        <f t="shared" si="6"/>
        <v>0</v>
      </c>
      <c r="BE23" s="113">
        <f t="shared" si="6"/>
        <v>0</v>
      </c>
      <c r="BF23" s="113">
        <f t="shared" si="6"/>
        <v>0</v>
      </c>
      <c r="BG23" s="113">
        <f t="shared" si="6"/>
        <v>0</v>
      </c>
      <c r="BH23" s="113">
        <f t="shared" si="6"/>
        <v>0</v>
      </c>
      <c r="BI23" s="113">
        <f t="shared" si="6"/>
        <v>0</v>
      </c>
      <c r="BJ23" s="113">
        <f t="shared" si="6"/>
        <v>0</v>
      </c>
      <c r="BK23" s="113">
        <f t="shared" si="6"/>
        <v>0</v>
      </c>
      <c r="BL23" s="113">
        <f t="shared" si="6"/>
        <v>0</v>
      </c>
      <c r="BM23" s="113">
        <f t="shared" si="6"/>
        <v>0</v>
      </c>
      <c r="BN23" s="113">
        <f t="shared" si="6"/>
        <v>0</v>
      </c>
      <c r="BO23" s="113">
        <f t="shared" si="6"/>
        <v>0</v>
      </c>
      <c r="BP23" s="113">
        <f t="shared" si="6"/>
        <v>0</v>
      </c>
      <c r="BQ23" s="113">
        <f t="shared" si="7"/>
        <v>0</v>
      </c>
      <c r="BR23" s="113">
        <f t="shared" si="7"/>
        <v>0</v>
      </c>
      <c r="BS23" s="113">
        <f t="shared" si="47"/>
        <v>0</v>
      </c>
      <c r="BT23" s="113">
        <f t="shared" si="48"/>
        <v>0</v>
      </c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08">
        <f t="shared" si="49"/>
      </c>
      <c r="CJ23" s="113"/>
      <c r="CK23" s="113"/>
      <c r="CL23" s="113"/>
      <c r="CM23" s="113"/>
    </row>
    <row r="24" spans="1:91" s="112" customFormat="1" ht="15">
      <c r="A24" s="103"/>
      <c r="B24" s="104"/>
      <c r="C24" s="105"/>
      <c r="D24" s="106"/>
      <c r="E24" s="107">
        <f t="shared" si="2"/>
      </c>
      <c r="F24" s="108">
        <f t="shared" si="8"/>
      </c>
      <c r="G24" s="109"/>
      <c r="H24" s="110"/>
      <c r="I24" s="486">
        <f t="shared" si="9"/>
        <v>0</v>
      </c>
      <c r="J24" s="486">
        <f t="shared" si="3"/>
        <v>0</v>
      </c>
      <c r="K24" s="486">
        <f t="shared" si="4"/>
        <v>0</v>
      </c>
      <c r="L24" s="111">
        <f t="shared" si="10"/>
        <v>0</v>
      </c>
      <c r="M24" s="176">
        <f t="shared" si="11"/>
        <v>0</v>
      </c>
      <c r="N24" s="177">
        <f t="shared" si="5"/>
        <v>0</v>
      </c>
      <c r="P24" s="306">
        <f t="shared" si="12"/>
        <v>0</v>
      </c>
      <c r="Q24" s="71">
        <f t="shared" si="13"/>
        <v>0</v>
      </c>
      <c r="R24" s="71">
        <f t="shared" si="14"/>
        <v>0</v>
      </c>
      <c r="S24" s="71">
        <f t="shared" si="15"/>
        <v>0</v>
      </c>
      <c r="T24" s="71">
        <f>IF(kontonr&gt;1499,IF(kontonr&lt;1560,$N24),0)+IF(kontonr&gt;(Kontoplan!P$3-1),IF(kontonr&lt;(Kontoplan!P$3+300),$N24,0),0)</f>
        <v>0</v>
      </c>
      <c r="U24" s="71">
        <f t="shared" si="16"/>
        <v>0</v>
      </c>
      <c r="V24" s="71">
        <f t="shared" si="17"/>
        <v>0</v>
      </c>
      <c r="W24" s="71">
        <f t="shared" si="18"/>
        <v>0</v>
      </c>
      <c r="X24" s="71">
        <f t="shared" si="19"/>
        <v>0</v>
      </c>
      <c r="Y24" s="71">
        <f t="shared" si="20"/>
        <v>0</v>
      </c>
      <c r="Z24" s="71">
        <f>IF(kontonr&gt;2399,IF(kontonr&lt;2500,$N24),0)+IF(kontonr&gt;(Kontoplan!$P$4-1),IF(kontonr&lt;(Kontoplan!$P$4+600),$N24,0),0)</f>
        <v>0</v>
      </c>
      <c r="AA24" s="71">
        <f t="shared" si="21"/>
        <v>0</v>
      </c>
      <c r="AB24" s="71">
        <f t="shared" si="22"/>
        <v>0</v>
      </c>
      <c r="AC24" s="71">
        <f t="shared" si="23"/>
        <v>0</v>
      </c>
      <c r="AD24" s="71">
        <f t="shared" si="24"/>
        <v>0</v>
      </c>
      <c r="AE24" s="71">
        <f t="shared" si="25"/>
        <v>0</v>
      </c>
      <c r="AF24" s="306">
        <f t="shared" si="26"/>
        <v>0</v>
      </c>
      <c r="AG24" s="74">
        <f t="shared" si="27"/>
        <v>0</v>
      </c>
      <c r="AH24" s="71">
        <f t="shared" si="28"/>
        <v>0</v>
      </c>
      <c r="AI24" s="71">
        <f t="shared" si="29"/>
        <v>0</v>
      </c>
      <c r="AJ24" s="71">
        <f t="shared" si="30"/>
        <v>0</v>
      </c>
      <c r="AK24" s="71">
        <f t="shared" si="31"/>
        <v>0</v>
      </c>
      <c r="AL24" s="71">
        <f t="shared" si="32"/>
        <v>0</v>
      </c>
      <c r="AM24" s="71">
        <f t="shared" si="33"/>
        <v>0</v>
      </c>
      <c r="AN24" s="71">
        <f t="shared" si="34"/>
        <v>0</v>
      </c>
      <c r="AO24" s="71">
        <f t="shared" si="35"/>
        <v>0</v>
      </c>
      <c r="AP24" s="71">
        <f t="shared" si="36"/>
        <v>0</v>
      </c>
      <c r="AQ24" s="71">
        <f t="shared" si="37"/>
        <v>0</v>
      </c>
      <c r="AR24" s="71">
        <f t="shared" si="38"/>
        <v>0</v>
      </c>
      <c r="AS24" s="71">
        <f t="shared" si="39"/>
        <v>0</v>
      </c>
      <c r="AT24" s="71">
        <f t="shared" si="40"/>
        <v>0</v>
      </c>
      <c r="AU24" s="306">
        <f t="shared" si="41"/>
        <v>0</v>
      </c>
      <c r="AV24" s="71">
        <f t="shared" si="42"/>
        <v>0</v>
      </c>
      <c r="AW24" s="71">
        <f t="shared" si="43"/>
        <v>0</v>
      </c>
      <c r="AX24" s="71">
        <f t="shared" si="44"/>
        <v>0</v>
      </c>
      <c r="AY24" s="113">
        <f t="shared" si="45"/>
        <v>0</v>
      </c>
      <c r="AZ24" s="113">
        <f t="shared" si="46"/>
        <v>0</v>
      </c>
      <c r="BA24" s="113">
        <f t="shared" si="6"/>
        <v>0</v>
      </c>
      <c r="BB24" s="113">
        <f t="shared" si="6"/>
        <v>0</v>
      </c>
      <c r="BC24" s="113">
        <f t="shared" si="6"/>
        <v>0</v>
      </c>
      <c r="BD24" s="113">
        <f t="shared" si="6"/>
        <v>0</v>
      </c>
      <c r="BE24" s="113">
        <f t="shared" si="6"/>
        <v>0</v>
      </c>
      <c r="BF24" s="113">
        <f t="shared" si="6"/>
        <v>0</v>
      </c>
      <c r="BG24" s="113">
        <f t="shared" si="6"/>
        <v>0</v>
      </c>
      <c r="BH24" s="113">
        <f t="shared" si="6"/>
        <v>0</v>
      </c>
      <c r="BI24" s="113">
        <f t="shared" si="6"/>
        <v>0</v>
      </c>
      <c r="BJ24" s="113">
        <f t="shared" si="6"/>
        <v>0</v>
      </c>
      <c r="BK24" s="113">
        <f t="shared" si="6"/>
        <v>0</v>
      </c>
      <c r="BL24" s="113">
        <f t="shared" si="6"/>
        <v>0</v>
      </c>
      <c r="BM24" s="113">
        <f t="shared" si="6"/>
        <v>0</v>
      </c>
      <c r="BN24" s="113">
        <f t="shared" si="6"/>
        <v>0</v>
      </c>
      <c r="BO24" s="113">
        <f t="shared" si="6"/>
        <v>0</v>
      </c>
      <c r="BP24" s="113">
        <f t="shared" si="6"/>
        <v>0</v>
      </c>
      <c r="BQ24" s="113">
        <f t="shared" si="7"/>
        <v>0</v>
      </c>
      <c r="BR24" s="113">
        <f t="shared" si="7"/>
        <v>0</v>
      </c>
      <c r="BS24" s="113">
        <f t="shared" si="47"/>
        <v>0</v>
      </c>
      <c r="BT24" s="113">
        <f t="shared" si="48"/>
        <v>0</v>
      </c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08">
        <f t="shared" si="49"/>
      </c>
      <c r="CJ24" s="113"/>
      <c r="CK24" s="113"/>
      <c r="CL24" s="113"/>
      <c r="CM24" s="113"/>
    </row>
    <row r="25" spans="1:91" s="112" customFormat="1" ht="15">
      <c r="A25" s="103"/>
      <c r="B25" s="104"/>
      <c r="C25" s="105"/>
      <c r="D25" s="106"/>
      <c r="E25" s="107">
        <f t="shared" si="2"/>
      </c>
      <c r="F25" s="108">
        <f t="shared" si="8"/>
      </c>
      <c r="G25" s="109"/>
      <c r="H25" s="110"/>
      <c r="I25" s="486">
        <f t="shared" si="9"/>
        <v>0</v>
      </c>
      <c r="J25" s="486">
        <f t="shared" si="3"/>
        <v>0</v>
      </c>
      <c r="K25" s="486">
        <f t="shared" si="4"/>
        <v>0</v>
      </c>
      <c r="L25" s="111">
        <f t="shared" si="10"/>
        <v>0</v>
      </c>
      <c r="M25" s="176">
        <f t="shared" si="11"/>
        <v>0</v>
      </c>
      <c r="N25" s="177">
        <f t="shared" si="5"/>
        <v>0</v>
      </c>
      <c r="P25" s="306">
        <f t="shared" si="12"/>
        <v>0</v>
      </c>
      <c r="Q25" s="71">
        <f t="shared" si="13"/>
        <v>0</v>
      </c>
      <c r="R25" s="71">
        <f t="shared" si="14"/>
        <v>0</v>
      </c>
      <c r="S25" s="71">
        <f t="shared" si="15"/>
        <v>0</v>
      </c>
      <c r="T25" s="71">
        <f>IF(kontonr&gt;1499,IF(kontonr&lt;1560,$N25),0)+IF(kontonr&gt;(Kontoplan!P$3-1),IF(kontonr&lt;(Kontoplan!P$3+300),$N25,0),0)</f>
        <v>0</v>
      </c>
      <c r="U25" s="71">
        <f t="shared" si="16"/>
        <v>0</v>
      </c>
      <c r="V25" s="71">
        <f t="shared" si="17"/>
        <v>0</v>
      </c>
      <c r="W25" s="71">
        <f t="shared" si="18"/>
        <v>0</v>
      </c>
      <c r="X25" s="71">
        <f t="shared" si="19"/>
        <v>0</v>
      </c>
      <c r="Y25" s="71">
        <f t="shared" si="20"/>
        <v>0</v>
      </c>
      <c r="Z25" s="71">
        <f>IF(kontonr&gt;2399,IF(kontonr&lt;2500,$N25),0)+IF(kontonr&gt;(Kontoplan!$P$4-1),IF(kontonr&lt;(Kontoplan!$P$4+600),$N25,0),0)</f>
        <v>0</v>
      </c>
      <c r="AA25" s="71">
        <f t="shared" si="21"/>
        <v>0</v>
      </c>
      <c r="AB25" s="71">
        <f t="shared" si="22"/>
        <v>0</v>
      </c>
      <c r="AC25" s="71">
        <f t="shared" si="23"/>
        <v>0</v>
      </c>
      <c r="AD25" s="71">
        <f t="shared" si="24"/>
        <v>0</v>
      </c>
      <c r="AE25" s="71">
        <f t="shared" si="25"/>
        <v>0</v>
      </c>
      <c r="AF25" s="306">
        <f t="shared" si="26"/>
        <v>0</v>
      </c>
      <c r="AG25" s="74">
        <f t="shared" si="27"/>
        <v>0</v>
      </c>
      <c r="AH25" s="71">
        <f t="shared" si="28"/>
        <v>0</v>
      </c>
      <c r="AI25" s="71">
        <f t="shared" si="29"/>
        <v>0</v>
      </c>
      <c r="AJ25" s="71">
        <f t="shared" si="30"/>
        <v>0</v>
      </c>
      <c r="AK25" s="71">
        <f t="shared" si="31"/>
        <v>0</v>
      </c>
      <c r="AL25" s="71">
        <f t="shared" si="32"/>
        <v>0</v>
      </c>
      <c r="AM25" s="71">
        <f t="shared" si="33"/>
        <v>0</v>
      </c>
      <c r="AN25" s="71">
        <f t="shared" si="34"/>
        <v>0</v>
      </c>
      <c r="AO25" s="71">
        <f t="shared" si="35"/>
        <v>0</v>
      </c>
      <c r="AP25" s="71">
        <f t="shared" si="36"/>
        <v>0</v>
      </c>
      <c r="AQ25" s="71">
        <f t="shared" si="37"/>
        <v>0</v>
      </c>
      <c r="AR25" s="71">
        <f t="shared" si="38"/>
        <v>0</v>
      </c>
      <c r="AS25" s="71">
        <f t="shared" si="39"/>
        <v>0</v>
      </c>
      <c r="AT25" s="71">
        <f t="shared" si="40"/>
        <v>0</v>
      </c>
      <c r="AU25" s="306">
        <f t="shared" si="41"/>
        <v>0</v>
      </c>
      <c r="AV25" s="71">
        <f t="shared" si="42"/>
        <v>0</v>
      </c>
      <c r="AW25" s="71">
        <f t="shared" si="43"/>
        <v>0</v>
      </c>
      <c r="AX25" s="71">
        <f t="shared" si="44"/>
        <v>0</v>
      </c>
      <c r="AY25" s="113">
        <f t="shared" si="45"/>
        <v>0</v>
      </c>
      <c r="AZ25" s="113">
        <f t="shared" si="46"/>
        <v>0</v>
      </c>
      <c r="BA25" s="113">
        <f t="shared" si="6"/>
        <v>0</v>
      </c>
      <c r="BB25" s="113">
        <f t="shared" si="6"/>
        <v>0</v>
      </c>
      <c r="BC25" s="113">
        <f t="shared" si="6"/>
        <v>0</v>
      </c>
      <c r="BD25" s="113">
        <f t="shared" si="6"/>
        <v>0</v>
      </c>
      <c r="BE25" s="113">
        <f t="shared" si="6"/>
        <v>0</v>
      </c>
      <c r="BF25" s="113">
        <f t="shared" si="6"/>
        <v>0</v>
      </c>
      <c r="BG25" s="113">
        <f t="shared" si="6"/>
        <v>0</v>
      </c>
      <c r="BH25" s="113">
        <f t="shared" si="6"/>
        <v>0</v>
      </c>
      <c r="BI25" s="113">
        <f t="shared" si="6"/>
        <v>0</v>
      </c>
      <c r="BJ25" s="113">
        <f t="shared" si="6"/>
        <v>0</v>
      </c>
      <c r="BK25" s="113">
        <f t="shared" si="6"/>
        <v>0</v>
      </c>
      <c r="BL25" s="113">
        <f t="shared" si="6"/>
        <v>0</v>
      </c>
      <c r="BM25" s="113">
        <f t="shared" si="6"/>
        <v>0</v>
      </c>
      <c r="BN25" s="113">
        <f t="shared" si="6"/>
        <v>0</v>
      </c>
      <c r="BO25" s="113">
        <f t="shared" si="6"/>
        <v>0</v>
      </c>
      <c r="BP25" s="113">
        <f t="shared" si="6"/>
        <v>0</v>
      </c>
      <c r="BQ25" s="113">
        <f t="shared" si="7"/>
        <v>0</v>
      </c>
      <c r="BR25" s="113">
        <f t="shared" si="7"/>
        <v>0</v>
      </c>
      <c r="BS25" s="113">
        <f t="shared" si="47"/>
        <v>0</v>
      </c>
      <c r="BT25" s="113">
        <f t="shared" si="48"/>
        <v>0</v>
      </c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08">
        <f t="shared" si="49"/>
      </c>
      <c r="CJ25" s="113"/>
      <c r="CK25" s="113"/>
      <c r="CL25" s="113"/>
      <c r="CM25" s="113"/>
    </row>
    <row r="26" spans="1:91" s="112" customFormat="1" ht="15">
      <c r="A26" s="103"/>
      <c r="B26" s="104"/>
      <c r="C26" s="105"/>
      <c r="D26" s="106"/>
      <c r="E26" s="107">
        <f t="shared" si="2"/>
      </c>
      <c r="F26" s="108">
        <f t="shared" si="8"/>
      </c>
      <c r="G26" s="109"/>
      <c r="H26" s="110"/>
      <c r="I26" s="486">
        <f t="shared" si="9"/>
        <v>0</v>
      </c>
      <c r="J26" s="486">
        <f t="shared" si="3"/>
        <v>0</v>
      </c>
      <c r="K26" s="486">
        <f t="shared" si="4"/>
        <v>0</v>
      </c>
      <c r="L26" s="111">
        <f t="shared" si="10"/>
        <v>0</v>
      </c>
      <c r="M26" s="176">
        <f t="shared" si="11"/>
        <v>0</v>
      </c>
      <c r="N26" s="177">
        <f t="shared" si="5"/>
        <v>0</v>
      </c>
      <c r="P26" s="306">
        <f t="shared" si="12"/>
        <v>0</v>
      </c>
      <c r="Q26" s="71">
        <f t="shared" si="13"/>
        <v>0</v>
      </c>
      <c r="R26" s="71">
        <f t="shared" si="14"/>
        <v>0</v>
      </c>
      <c r="S26" s="71">
        <f t="shared" si="15"/>
        <v>0</v>
      </c>
      <c r="T26" s="71">
        <f>IF(kontonr&gt;1499,IF(kontonr&lt;1560,$N26),0)+IF(kontonr&gt;(Kontoplan!P$3-1),IF(kontonr&lt;(Kontoplan!P$3+300),$N26,0),0)</f>
        <v>0</v>
      </c>
      <c r="U26" s="71">
        <f t="shared" si="16"/>
        <v>0</v>
      </c>
      <c r="V26" s="71">
        <f t="shared" si="17"/>
        <v>0</v>
      </c>
      <c r="W26" s="71">
        <f t="shared" si="18"/>
        <v>0</v>
      </c>
      <c r="X26" s="71">
        <f t="shared" si="19"/>
        <v>0</v>
      </c>
      <c r="Y26" s="71">
        <f t="shared" si="20"/>
        <v>0</v>
      </c>
      <c r="Z26" s="71">
        <f>IF(kontonr&gt;2399,IF(kontonr&lt;2500,$N26),0)+IF(kontonr&gt;(Kontoplan!$P$4-1),IF(kontonr&lt;(Kontoplan!$P$4+600),$N26,0),0)</f>
        <v>0</v>
      </c>
      <c r="AA26" s="71">
        <f t="shared" si="21"/>
        <v>0</v>
      </c>
      <c r="AB26" s="71">
        <f t="shared" si="22"/>
        <v>0</v>
      </c>
      <c r="AC26" s="71">
        <f t="shared" si="23"/>
        <v>0</v>
      </c>
      <c r="AD26" s="71">
        <f t="shared" si="24"/>
        <v>0</v>
      </c>
      <c r="AE26" s="71">
        <f t="shared" si="25"/>
        <v>0</v>
      </c>
      <c r="AF26" s="306">
        <f t="shared" si="26"/>
        <v>0</v>
      </c>
      <c r="AG26" s="74">
        <f t="shared" si="27"/>
        <v>0</v>
      </c>
      <c r="AH26" s="71">
        <f t="shared" si="28"/>
        <v>0</v>
      </c>
      <c r="AI26" s="71">
        <f t="shared" si="29"/>
        <v>0</v>
      </c>
      <c r="AJ26" s="71">
        <f t="shared" si="30"/>
        <v>0</v>
      </c>
      <c r="AK26" s="71">
        <f t="shared" si="31"/>
        <v>0</v>
      </c>
      <c r="AL26" s="71">
        <f t="shared" si="32"/>
        <v>0</v>
      </c>
      <c r="AM26" s="71">
        <f t="shared" si="33"/>
        <v>0</v>
      </c>
      <c r="AN26" s="71">
        <f t="shared" si="34"/>
        <v>0</v>
      </c>
      <c r="AO26" s="71">
        <f t="shared" si="35"/>
        <v>0</v>
      </c>
      <c r="AP26" s="71">
        <f t="shared" si="36"/>
        <v>0</v>
      </c>
      <c r="AQ26" s="71">
        <f t="shared" si="37"/>
        <v>0</v>
      </c>
      <c r="AR26" s="71">
        <f t="shared" si="38"/>
        <v>0</v>
      </c>
      <c r="AS26" s="71">
        <f t="shared" si="39"/>
        <v>0</v>
      </c>
      <c r="AT26" s="71">
        <f t="shared" si="40"/>
        <v>0</v>
      </c>
      <c r="AU26" s="306">
        <f t="shared" si="41"/>
        <v>0</v>
      </c>
      <c r="AV26" s="71">
        <f t="shared" si="42"/>
        <v>0</v>
      </c>
      <c r="AW26" s="71">
        <f t="shared" si="43"/>
        <v>0</v>
      </c>
      <c r="AX26" s="71">
        <f t="shared" si="44"/>
        <v>0</v>
      </c>
      <c r="AY26" s="113">
        <f t="shared" si="45"/>
        <v>0</v>
      </c>
      <c r="AZ26" s="113">
        <f t="shared" si="46"/>
        <v>0</v>
      </c>
      <c r="BA26" s="113">
        <f t="shared" si="6"/>
        <v>0</v>
      </c>
      <c r="BB26" s="113">
        <f t="shared" si="6"/>
        <v>0</v>
      </c>
      <c r="BC26" s="113">
        <f t="shared" si="6"/>
        <v>0</v>
      </c>
      <c r="BD26" s="113">
        <f t="shared" si="6"/>
        <v>0</v>
      </c>
      <c r="BE26" s="113">
        <f t="shared" si="6"/>
        <v>0</v>
      </c>
      <c r="BF26" s="113">
        <f t="shared" si="6"/>
        <v>0</v>
      </c>
      <c r="BG26" s="113">
        <f t="shared" si="6"/>
        <v>0</v>
      </c>
      <c r="BH26" s="113">
        <f t="shared" si="6"/>
        <v>0</v>
      </c>
      <c r="BI26" s="113">
        <f t="shared" si="6"/>
        <v>0</v>
      </c>
      <c r="BJ26" s="113">
        <f t="shared" si="6"/>
        <v>0</v>
      </c>
      <c r="BK26" s="113">
        <f t="shared" si="6"/>
        <v>0</v>
      </c>
      <c r="BL26" s="113">
        <f t="shared" si="6"/>
        <v>0</v>
      </c>
      <c r="BM26" s="113">
        <f t="shared" si="6"/>
        <v>0</v>
      </c>
      <c r="BN26" s="113">
        <f t="shared" si="6"/>
        <v>0</v>
      </c>
      <c r="BO26" s="113">
        <f t="shared" si="6"/>
        <v>0</v>
      </c>
      <c r="BP26" s="113">
        <f t="shared" si="6"/>
        <v>0</v>
      </c>
      <c r="BQ26" s="113">
        <f t="shared" si="7"/>
        <v>0</v>
      </c>
      <c r="BR26" s="113">
        <f t="shared" si="7"/>
        <v>0</v>
      </c>
      <c r="BS26" s="113">
        <f t="shared" si="47"/>
        <v>0</v>
      </c>
      <c r="BT26" s="113">
        <f t="shared" si="48"/>
        <v>0</v>
      </c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08">
        <f t="shared" si="49"/>
      </c>
      <c r="CJ26" s="113"/>
      <c r="CK26" s="113"/>
      <c r="CL26" s="113"/>
      <c r="CM26" s="113"/>
    </row>
    <row r="27" spans="1:91" s="112" customFormat="1" ht="15">
      <c r="A27" s="103"/>
      <c r="B27" s="104"/>
      <c r="C27" s="105"/>
      <c r="D27" s="106"/>
      <c r="E27" s="107">
        <f t="shared" si="2"/>
      </c>
      <c r="F27" s="108">
        <f t="shared" si="8"/>
      </c>
      <c r="G27" s="109"/>
      <c r="H27" s="110"/>
      <c r="I27" s="486">
        <f t="shared" si="9"/>
        <v>0</v>
      </c>
      <c r="J27" s="486">
        <f t="shared" si="3"/>
        <v>0</v>
      </c>
      <c r="K27" s="486">
        <f t="shared" si="4"/>
        <v>0</v>
      </c>
      <c r="L27" s="111">
        <f t="shared" si="10"/>
        <v>0</v>
      </c>
      <c r="M27" s="176">
        <f t="shared" si="11"/>
        <v>0</v>
      </c>
      <c r="N27" s="177">
        <f t="shared" si="5"/>
        <v>0</v>
      </c>
      <c r="P27" s="306">
        <f t="shared" si="12"/>
        <v>0</v>
      </c>
      <c r="Q27" s="71">
        <f t="shared" si="13"/>
        <v>0</v>
      </c>
      <c r="R27" s="71">
        <f t="shared" si="14"/>
        <v>0</v>
      </c>
      <c r="S27" s="71">
        <f t="shared" si="15"/>
        <v>0</v>
      </c>
      <c r="T27" s="71">
        <f>IF(kontonr&gt;1499,IF(kontonr&lt;1560,$N27),0)+IF(kontonr&gt;(Kontoplan!P$3-1),IF(kontonr&lt;(Kontoplan!P$3+300),$N27,0),0)</f>
        <v>0</v>
      </c>
      <c r="U27" s="71">
        <f t="shared" si="16"/>
        <v>0</v>
      </c>
      <c r="V27" s="71">
        <f t="shared" si="17"/>
        <v>0</v>
      </c>
      <c r="W27" s="71">
        <f t="shared" si="18"/>
        <v>0</v>
      </c>
      <c r="X27" s="71">
        <f t="shared" si="19"/>
        <v>0</v>
      </c>
      <c r="Y27" s="71">
        <f t="shared" si="20"/>
        <v>0</v>
      </c>
      <c r="Z27" s="71">
        <f>IF(kontonr&gt;2399,IF(kontonr&lt;2500,$N27),0)+IF(kontonr&gt;(Kontoplan!$P$4-1),IF(kontonr&lt;(Kontoplan!$P$4+600),$N27,0),0)</f>
        <v>0</v>
      </c>
      <c r="AA27" s="71">
        <f t="shared" si="21"/>
        <v>0</v>
      </c>
      <c r="AB27" s="71">
        <f t="shared" si="22"/>
        <v>0</v>
      </c>
      <c r="AC27" s="71">
        <f t="shared" si="23"/>
        <v>0</v>
      </c>
      <c r="AD27" s="71">
        <f t="shared" si="24"/>
        <v>0</v>
      </c>
      <c r="AE27" s="71">
        <f t="shared" si="25"/>
        <v>0</v>
      </c>
      <c r="AF27" s="306">
        <f t="shared" si="26"/>
        <v>0</v>
      </c>
      <c r="AG27" s="74">
        <f t="shared" si="27"/>
        <v>0</v>
      </c>
      <c r="AH27" s="71">
        <f t="shared" si="28"/>
        <v>0</v>
      </c>
      <c r="AI27" s="71">
        <f t="shared" si="29"/>
        <v>0</v>
      </c>
      <c r="AJ27" s="71">
        <f t="shared" si="30"/>
        <v>0</v>
      </c>
      <c r="AK27" s="71">
        <f t="shared" si="31"/>
        <v>0</v>
      </c>
      <c r="AL27" s="71">
        <f t="shared" si="32"/>
        <v>0</v>
      </c>
      <c r="AM27" s="71">
        <f t="shared" si="33"/>
        <v>0</v>
      </c>
      <c r="AN27" s="71">
        <f t="shared" si="34"/>
        <v>0</v>
      </c>
      <c r="AO27" s="71">
        <f t="shared" si="35"/>
        <v>0</v>
      </c>
      <c r="AP27" s="71">
        <f t="shared" si="36"/>
        <v>0</v>
      </c>
      <c r="AQ27" s="71">
        <f t="shared" si="37"/>
        <v>0</v>
      </c>
      <c r="AR27" s="71">
        <f t="shared" si="38"/>
        <v>0</v>
      </c>
      <c r="AS27" s="71">
        <f t="shared" si="39"/>
        <v>0</v>
      </c>
      <c r="AT27" s="71">
        <f t="shared" si="40"/>
        <v>0</v>
      </c>
      <c r="AU27" s="306">
        <f t="shared" si="41"/>
        <v>0</v>
      </c>
      <c r="AV27" s="71">
        <f t="shared" si="42"/>
        <v>0</v>
      </c>
      <c r="AW27" s="71">
        <f t="shared" si="43"/>
        <v>0</v>
      </c>
      <c r="AX27" s="71">
        <f t="shared" si="44"/>
        <v>0</v>
      </c>
      <c r="AY27" s="113">
        <f t="shared" si="45"/>
        <v>0</v>
      </c>
      <c r="AZ27" s="113">
        <f t="shared" si="46"/>
        <v>0</v>
      </c>
      <c r="BA27" s="113">
        <f t="shared" si="6"/>
        <v>0</v>
      </c>
      <c r="BB27" s="113">
        <f t="shared" si="6"/>
        <v>0</v>
      </c>
      <c r="BC27" s="113">
        <f t="shared" si="6"/>
        <v>0</v>
      </c>
      <c r="BD27" s="113">
        <f t="shared" si="6"/>
        <v>0</v>
      </c>
      <c r="BE27" s="113">
        <f t="shared" si="6"/>
        <v>0</v>
      </c>
      <c r="BF27" s="113">
        <f t="shared" si="6"/>
        <v>0</v>
      </c>
      <c r="BG27" s="113">
        <f t="shared" si="6"/>
        <v>0</v>
      </c>
      <c r="BH27" s="113">
        <f t="shared" si="6"/>
        <v>0</v>
      </c>
      <c r="BI27" s="113">
        <f t="shared" si="6"/>
        <v>0</v>
      </c>
      <c r="BJ27" s="113">
        <f t="shared" si="6"/>
        <v>0</v>
      </c>
      <c r="BK27" s="113">
        <f t="shared" si="6"/>
        <v>0</v>
      </c>
      <c r="BL27" s="113">
        <f t="shared" si="6"/>
        <v>0</v>
      </c>
      <c r="BM27" s="113">
        <f t="shared" si="6"/>
        <v>0</v>
      </c>
      <c r="BN27" s="113">
        <f t="shared" si="6"/>
        <v>0</v>
      </c>
      <c r="BO27" s="113">
        <f t="shared" si="6"/>
        <v>0</v>
      </c>
      <c r="BP27" s="113">
        <f t="shared" si="6"/>
        <v>0</v>
      </c>
      <c r="BQ27" s="113">
        <f t="shared" si="7"/>
        <v>0</v>
      </c>
      <c r="BR27" s="113">
        <f t="shared" si="7"/>
        <v>0</v>
      </c>
      <c r="BS27" s="113">
        <f t="shared" si="47"/>
        <v>0</v>
      </c>
      <c r="BT27" s="113">
        <f t="shared" si="48"/>
        <v>0</v>
      </c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08">
        <f t="shared" si="49"/>
      </c>
      <c r="CJ27" s="113"/>
      <c r="CK27" s="113"/>
      <c r="CL27" s="113"/>
      <c r="CM27" s="113"/>
    </row>
    <row r="28" spans="1:91" s="112" customFormat="1" ht="15">
      <c r="A28" s="103"/>
      <c r="B28" s="104"/>
      <c r="C28" s="105"/>
      <c r="D28" s="106"/>
      <c r="E28" s="107">
        <f t="shared" si="2"/>
      </c>
      <c r="F28" s="108">
        <f t="shared" si="8"/>
      </c>
      <c r="G28" s="109"/>
      <c r="H28" s="110"/>
      <c r="I28" s="486">
        <f t="shared" si="9"/>
        <v>0</v>
      </c>
      <c r="J28" s="486">
        <f t="shared" si="3"/>
        <v>0</v>
      </c>
      <c r="K28" s="486">
        <f t="shared" si="4"/>
        <v>0</v>
      </c>
      <c r="L28" s="111">
        <f t="shared" si="10"/>
        <v>0</v>
      </c>
      <c r="M28" s="176">
        <f t="shared" si="11"/>
        <v>0</v>
      </c>
      <c r="N28" s="177">
        <f t="shared" si="5"/>
        <v>0</v>
      </c>
      <c r="P28" s="306">
        <f t="shared" si="12"/>
        <v>0</v>
      </c>
      <c r="Q28" s="71">
        <f t="shared" si="13"/>
        <v>0</v>
      </c>
      <c r="R28" s="71">
        <f t="shared" si="14"/>
        <v>0</v>
      </c>
      <c r="S28" s="71">
        <f t="shared" si="15"/>
        <v>0</v>
      </c>
      <c r="T28" s="71">
        <f>IF(kontonr&gt;1499,IF(kontonr&lt;1560,$N28),0)+IF(kontonr&gt;(Kontoplan!P$3-1),IF(kontonr&lt;(Kontoplan!P$3+300),$N28,0),0)</f>
        <v>0</v>
      </c>
      <c r="U28" s="71">
        <f t="shared" si="16"/>
        <v>0</v>
      </c>
      <c r="V28" s="71">
        <f t="shared" si="17"/>
        <v>0</v>
      </c>
      <c r="W28" s="71">
        <f t="shared" si="18"/>
        <v>0</v>
      </c>
      <c r="X28" s="71">
        <f t="shared" si="19"/>
        <v>0</v>
      </c>
      <c r="Y28" s="71">
        <f t="shared" si="20"/>
        <v>0</v>
      </c>
      <c r="Z28" s="71">
        <f>IF(kontonr&gt;2399,IF(kontonr&lt;2500,$N28),0)+IF(kontonr&gt;(Kontoplan!$P$4-1),IF(kontonr&lt;(Kontoplan!$P$4+600),$N28,0),0)</f>
        <v>0</v>
      </c>
      <c r="AA28" s="71">
        <f t="shared" si="21"/>
        <v>0</v>
      </c>
      <c r="AB28" s="71">
        <f t="shared" si="22"/>
        <v>0</v>
      </c>
      <c r="AC28" s="71">
        <f t="shared" si="23"/>
        <v>0</v>
      </c>
      <c r="AD28" s="71">
        <f t="shared" si="24"/>
        <v>0</v>
      </c>
      <c r="AE28" s="71">
        <f t="shared" si="25"/>
        <v>0</v>
      </c>
      <c r="AF28" s="306">
        <f t="shared" si="26"/>
        <v>0</v>
      </c>
      <c r="AG28" s="74">
        <f t="shared" si="27"/>
        <v>0</v>
      </c>
      <c r="AH28" s="71">
        <f t="shared" si="28"/>
        <v>0</v>
      </c>
      <c r="AI28" s="71">
        <f t="shared" si="29"/>
        <v>0</v>
      </c>
      <c r="AJ28" s="71">
        <f t="shared" si="30"/>
        <v>0</v>
      </c>
      <c r="AK28" s="71">
        <f t="shared" si="31"/>
        <v>0</v>
      </c>
      <c r="AL28" s="71">
        <f t="shared" si="32"/>
        <v>0</v>
      </c>
      <c r="AM28" s="71">
        <f t="shared" si="33"/>
        <v>0</v>
      </c>
      <c r="AN28" s="71">
        <f t="shared" si="34"/>
        <v>0</v>
      </c>
      <c r="AO28" s="71">
        <f t="shared" si="35"/>
        <v>0</v>
      </c>
      <c r="AP28" s="71">
        <f t="shared" si="36"/>
        <v>0</v>
      </c>
      <c r="AQ28" s="71">
        <f t="shared" si="37"/>
        <v>0</v>
      </c>
      <c r="AR28" s="71">
        <f t="shared" si="38"/>
        <v>0</v>
      </c>
      <c r="AS28" s="71">
        <f t="shared" si="39"/>
        <v>0</v>
      </c>
      <c r="AT28" s="71">
        <f t="shared" si="40"/>
        <v>0</v>
      </c>
      <c r="AU28" s="306">
        <f t="shared" si="41"/>
        <v>0</v>
      </c>
      <c r="AV28" s="71">
        <f t="shared" si="42"/>
        <v>0</v>
      </c>
      <c r="AW28" s="71">
        <f t="shared" si="43"/>
        <v>0</v>
      </c>
      <c r="AX28" s="71">
        <f t="shared" si="44"/>
        <v>0</v>
      </c>
      <c r="AY28" s="113">
        <f t="shared" si="45"/>
        <v>0</v>
      </c>
      <c r="AZ28" s="113">
        <f t="shared" si="46"/>
        <v>0</v>
      </c>
      <c r="BA28" s="113">
        <f t="shared" si="6"/>
        <v>0</v>
      </c>
      <c r="BB28" s="113">
        <f t="shared" si="6"/>
        <v>0</v>
      </c>
      <c r="BC28" s="113">
        <f t="shared" si="6"/>
        <v>0</v>
      </c>
      <c r="BD28" s="113">
        <f t="shared" si="6"/>
        <v>0</v>
      </c>
      <c r="BE28" s="113">
        <f t="shared" si="6"/>
        <v>0</v>
      </c>
      <c r="BF28" s="113">
        <f t="shared" si="6"/>
        <v>0</v>
      </c>
      <c r="BG28" s="113">
        <f t="shared" si="6"/>
        <v>0</v>
      </c>
      <c r="BH28" s="113">
        <f t="shared" si="6"/>
        <v>0</v>
      </c>
      <c r="BI28" s="113">
        <f t="shared" si="6"/>
        <v>0</v>
      </c>
      <c r="BJ28" s="113">
        <f t="shared" si="6"/>
        <v>0</v>
      </c>
      <c r="BK28" s="113">
        <f t="shared" si="6"/>
        <v>0</v>
      </c>
      <c r="BL28" s="113">
        <f t="shared" si="6"/>
        <v>0</v>
      </c>
      <c r="BM28" s="113">
        <f t="shared" si="6"/>
        <v>0</v>
      </c>
      <c r="BN28" s="113">
        <f t="shared" si="6"/>
        <v>0</v>
      </c>
      <c r="BO28" s="113">
        <f t="shared" si="6"/>
        <v>0</v>
      </c>
      <c r="BP28" s="113">
        <f t="shared" si="6"/>
        <v>0</v>
      </c>
      <c r="BQ28" s="113">
        <f t="shared" si="7"/>
        <v>0</v>
      </c>
      <c r="BR28" s="113">
        <f t="shared" si="7"/>
        <v>0</v>
      </c>
      <c r="BS28" s="113">
        <f t="shared" si="47"/>
        <v>0</v>
      </c>
      <c r="BT28" s="113">
        <f t="shared" si="48"/>
        <v>0</v>
      </c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08">
        <f t="shared" si="49"/>
      </c>
      <c r="CJ28" s="113"/>
      <c r="CK28" s="113"/>
      <c r="CL28" s="113"/>
      <c r="CM28" s="113"/>
    </row>
    <row r="29" spans="1:91" s="112" customFormat="1" ht="15" customHeight="1">
      <c r="A29" s="103"/>
      <c r="B29" s="104"/>
      <c r="C29" s="105"/>
      <c r="D29" s="106"/>
      <c r="E29" s="107">
        <f t="shared" si="2"/>
      </c>
      <c r="F29" s="108">
        <f t="shared" si="8"/>
      </c>
      <c r="G29" s="109"/>
      <c r="H29" s="110"/>
      <c r="I29" s="486">
        <f t="shared" si="9"/>
        <v>0</v>
      </c>
      <c r="J29" s="486">
        <f t="shared" si="3"/>
        <v>0</v>
      </c>
      <c r="K29" s="486">
        <f t="shared" si="4"/>
        <v>0</v>
      </c>
      <c r="L29" s="111">
        <f t="shared" si="10"/>
        <v>0</v>
      </c>
      <c r="M29" s="176">
        <f t="shared" si="11"/>
        <v>0</v>
      </c>
      <c r="N29" s="177">
        <f t="shared" si="5"/>
        <v>0</v>
      </c>
      <c r="P29" s="306">
        <f t="shared" si="12"/>
        <v>0</v>
      </c>
      <c r="Q29" s="71">
        <f t="shared" si="13"/>
        <v>0</v>
      </c>
      <c r="R29" s="71">
        <f t="shared" si="14"/>
        <v>0</v>
      </c>
      <c r="S29" s="71">
        <f t="shared" si="15"/>
        <v>0</v>
      </c>
      <c r="T29" s="71">
        <f>IF(kontonr&gt;1499,IF(kontonr&lt;1560,$N29),0)+IF(kontonr&gt;(Kontoplan!P$3-1),IF(kontonr&lt;(Kontoplan!P$3+300),$N29,0),0)</f>
        <v>0</v>
      </c>
      <c r="U29" s="71">
        <f t="shared" si="16"/>
        <v>0</v>
      </c>
      <c r="V29" s="71">
        <f t="shared" si="17"/>
        <v>0</v>
      </c>
      <c r="W29" s="71">
        <f t="shared" si="18"/>
        <v>0</v>
      </c>
      <c r="X29" s="71">
        <f t="shared" si="19"/>
        <v>0</v>
      </c>
      <c r="Y29" s="71">
        <f t="shared" si="20"/>
        <v>0</v>
      </c>
      <c r="Z29" s="71">
        <f>IF(kontonr&gt;2399,IF(kontonr&lt;2500,$N29),0)+IF(kontonr&gt;(Kontoplan!$P$4-1),IF(kontonr&lt;(Kontoplan!$P$4+600),$N29,0),0)</f>
        <v>0</v>
      </c>
      <c r="AA29" s="71">
        <f t="shared" si="21"/>
        <v>0</v>
      </c>
      <c r="AB29" s="71">
        <f t="shared" si="22"/>
        <v>0</v>
      </c>
      <c r="AC29" s="71">
        <f t="shared" si="23"/>
        <v>0</v>
      </c>
      <c r="AD29" s="71">
        <f t="shared" si="24"/>
        <v>0</v>
      </c>
      <c r="AE29" s="71">
        <f t="shared" si="25"/>
        <v>0</v>
      </c>
      <c r="AF29" s="306">
        <f t="shared" si="26"/>
        <v>0</v>
      </c>
      <c r="AG29" s="74">
        <f t="shared" si="27"/>
        <v>0</v>
      </c>
      <c r="AH29" s="71">
        <f t="shared" si="28"/>
        <v>0</v>
      </c>
      <c r="AI29" s="71">
        <f t="shared" si="29"/>
        <v>0</v>
      </c>
      <c r="AJ29" s="71">
        <f t="shared" si="30"/>
        <v>0</v>
      </c>
      <c r="AK29" s="71">
        <f t="shared" si="31"/>
        <v>0</v>
      </c>
      <c r="AL29" s="71">
        <f t="shared" si="32"/>
        <v>0</v>
      </c>
      <c r="AM29" s="71">
        <f t="shared" si="33"/>
        <v>0</v>
      </c>
      <c r="AN29" s="71">
        <f t="shared" si="34"/>
        <v>0</v>
      </c>
      <c r="AO29" s="71">
        <f t="shared" si="35"/>
        <v>0</v>
      </c>
      <c r="AP29" s="71">
        <f t="shared" si="36"/>
        <v>0</v>
      </c>
      <c r="AQ29" s="71">
        <f t="shared" si="37"/>
        <v>0</v>
      </c>
      <c r="AR29" s="71">
        <f t="shared" si="38"/>
        <v>0</v>
      </c>
      <c r="AS29" s="71">
        <f t="shared" si="39"/>
        <v>0</v>
      </c>
      <c r="AT29" s="71">
        <f t="shared" si="40"/>
        <v>0</v>
      </c>
      <c r="AU29" s="306">
        <f t="shared" si="41"/>
        <v>0</v>
      </c>
      <c r="AV29" s="71">
        <f t="shared" si="42"/>
        <v>0</v>
      </c>
      <c r="AW29" s="71">
        <f t="shared" si="43"/>
        <v>0</v>
      </c>
      <c r="AX29" s="71">
        <f t="shared" si="44"/>
        <v>0</v>
      </c>
      <c r="AY29" s="113">
        <f t="shared" si="45"/>
        <v>0</v>
      </c>
      <c r="AZ29" s="113">
        <f t="shared" si="46"/>
        <v>0</v>
      </c>
      <c r="BA29" s="113">
        <f t="shared" si="6"/>
        <v>0</v>
      </c>
      <c r="BB29" s="113">
        <f t="shared" si="6"/>
        <v>0</v>
      </c>
      <c r="BC29" s="113">
        <f t="shared" si="6"/>
        <v>0</v>
      </c>
      <c r="BD29" s="113">
        <f t="shared" si="6"/>
        <v>0</v>
      </c>
      <c r="BE29" s="113">
        <f t="shared" si="6"/>
        <v>0</v>
      </c>
      <c r="BF29" s="113">
        <f t="shared" si="6"/>
        <v>0</v>
      </c>
      <c r="BG29" s="113">
        <f t="shared" si="6"/>
        <v>0</v>
      </c>
      <c r="BH29" s="113">
        <f t="shared" si="6"/>
        <v>0</v>
      </c>
      <c r="BI29" s="113">
        <f t="shared" si="6"/>
        <v>0</v>
      </c>
      <c r="BJ29" s="113">
        <f t="shared" si="6"/>
        <v>0</v>
      </c>
      <c r="BK29" s="113">
        <f t="shared" si="6"/>
        <v>0</v>
      </c>
      <c r="BL29" s="113">
        <f t="shared" si="6"/>
        <v>0</v>
      </c>
      <c r="BM29" s="113">
        <f t="shared" si="6"/>
        <v>0</v>
      </c>
      <c r="BN29" s="113">
        <f t="shared" si="6"/>
        <v>0</v>
      </c>
      <c r="BO29" s="113">
        <f t="shared" si="6"/>
        <v>0</v>
      </c>
      <c r="BP29" s="113">
        <f aca="true" t="shared" si="52" ref="BP29:BP36">IF(kontonr=BP$5,$N29,0)</f>
        <v>0</v>
      </c>
      <c r="BQ29" s="113">
        <f t="shared" si="7"/>
        <v>0</v>
      </c>
      <c r="BR29" s="113">
        <f t="shared" si="7"/>
        <v>0</v>
      </c>
      <c r="BS29" s="113">
        <f t="shared" si="47"/>
        <v>0</v>
      </c>
      <c r="BT29" s="113">
        <f t="shared" si="48"/>
        <v>0</v>
      </c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08">
        <f t="shared" si="49"/>
      </c>
      <c r="CJ29" s="113"/>
      <c r="CK29" s="113"/>
      <c r="CL29" s="113"/>
      <c r="CM29" s="113"/>
    </row>
    <row r="30" spans="1:91" s="112" customFormat="1" ht="15">
      <c r="A30" s="103"/>
      <c r="B30" s="104"/>
      <c r="C30" s="105"/>
      <c r="D30" s="106"/>
      <c r="E30" s="107">
        <f t="shared" si="2"/>
      </c>
      <c r="F30" s="108">
        <f t="shared" si="8"/>
      </c>
      <c r="G30" s="109"/>
      <c r="H30" s="110"/>
      <c r="I30" s="486">
        <f t="shared" si="9"/>
        <v>0</v>
      </c>
      <c r="J30" s="486">
        <f t="shared" si="3"/>
        <v>0</v>
      </c>
      <c r="K30" s="486">
        <f t="shared" si="4"/>
        <v>0</v>
      </c>
      <c r="L30" s="111">
        <f t="shared" si="10"/>
        <v>0</v>
      </c>
      <c r="M30" s="176">
        <f t="shared" si="11"/>
        <v>0</v>
      </c>
      <c r="N30" s="177">
        <f t="shared" si="5"/>
        <v>0</v>
      </c>
      <c r="P30" s="306">
        <f t="shared" si="12"/>
        <v>0</v>
      </c>
      <c r="Q30" s="71">
        <f t="shared" si="13"/>
        <v>0</v>
      </c>
      <c r="R30" s="71">
        <f t="shared" si="14"/>
        <v>0</v>
      </c>
      <c r="S30" s="71">
        <f t="shared" si="15"/>
        <v>0</v>
      </c>
      <c r="T30" s="71">
        <f>IF(kontonr&gt;1499,IF(kontonr&lt;1560,$N30),0)+IF(kontonr&gt;(Kontoplan!P$3-1),IF(kontonr&lt;(Kontoplan!P$3+300),$N30,0),0)</f>
        <v>0</v>
      </c>
      <c r="U30" s="71">
        <f t="shared" si="16"/>
        <v>0</v>
      </c>
      <c r="V30" s="71">
        <f t="shared" si="17"/>
        <v>0</v>
      </c>
      <c r="W30" s="71">
        <f t="shared" si="18"/>
        <v>0</v>
      </c>
      <c r="X30" s="71">
        <f t="shared" si="19"/>
        <v>0</v>
      </c>
      <c r="Y30" s="71">
        <f t="shared" si="20"/>
        <v>0</v>
      </c>
      <c r="Z30" s="71">
        <f>IF(kontonr&gt;2399,IF(kontonr&lt;2500,$N30),0)+IF(kontonr&gt;(Kontoplan!$P$4-1),IF(kontonr&lt;(Kontoplan!$P$4+600),$N30,0),0)</f>
        <v>0</v>
      </c>
      <c r="AA30" s="71">
        <f t="shared" si="21"/>
        <v>0</v>
      </c>
      <c r="AB30" s="71">
        <f t="shared" si="22"/>
        <v>0</v>
      </c>
      <c r="AC30" s="71">
        <f t="shared" si="23"/>
        <v>0</v>
      </c>
      <c r="AD30" s="71">
        <f t="shared" si="24"/>
        <v>0</v>
      </c>
      <c r="AE30" s="71">
        <f t="shared" si="25"/>
        <v>0</v>
      </c>
      <c r="AF30" s="306">
        <f t="shared" si="26"/>
        <v>0</v>
      </c>
      <c r="AG30" s="74">
        <f t="shared" si="27"/>
        <v>0</v>
      </c>
      <c r="AH30" s="71">
        <f t="shared" si="28"/>
        <v>0</v>
      </c>
      <c r="AI30" s="71">
        <f t="shared" si="29"/>
        <v>0</v>
      </c>
      <c r="AJ30" s="71">
        <f t="shared" si="30"/>
        <v>0</v>
      </c>
      <c r="AK30" s="71">
        <f t="shared" si="31"/>
        <v>0</v>
      </c>
      <c r="AL30" s="71">
        <f t="shared" si="32"/>
        <v>0</v>
      </c>
      <c r="AM30" s="71">
        <f t="shared" si="33"/>
        <v>0</v>
      </c>
      <c r="AN30" s="71">
        <f t="shared" si="34"/>
        <v>0</v>
      </c>
      <c r="AO30" s="71">
        <f t="shared" si="35"/>
        <v>0</v>
      </c>
      <c r="AP30" s="71">
        <f t="shared" si="36"/>
        <v>0</v>
      </c>
      <c r="AQ30" s="71">
        <f t="shared" si="37"/>
        <v>0</v>
      </c>
      <c r="AR30" s="71">
        <f t="shared" si="38"/>
        <v>0</v>
      </c>
      <c r="AS30" s="71">
        <f t="shared" si="39"/>
        <v>0</v>
      </c>
      <c r="AT30" s="71">
        <f t="shared" si="40"/>
        <v>0</v>
      </c>
      <c r="AU30" s="306">
        <f t="shared" si="41"/>
        <v>0</v>
      </c>
      <c r="AV30" s="71">
        <f t="shared" si="42"/>
        <v>0</v>
      </c>
      <c r="AW30" s="71">
        <f t="shared" si="43"/>
        <v>0</v>
      </c>
      <c r="AX30" s="71">
        <f t="shared" si="44"/>
        <v>0</v>
      </c>
      <c r="AY30" s="113">
        <f t="shared" si="45"/>
        <v>0</v>
      </c>
      <c r="AZ30" s="113">
        <f t="shared" si="46"/>
        <v>0</v>
      </c>
      <c r="BA30" s="113">
        <f aca="true" t="shared" si="53" ref="BA30:BO36">IF(kontonr=BA$5,$N30,0)</f>
        <v>0</v>
      </c>
      <c r="BB30" s="113">
        <f t="shared" si="53"/>
        <v>0</v>
      </c>
      <c r="BC30" s="113">
        <f t="shared" si="53"/>
        <v>0</v>
      </c>
      <c r="BD30" s="113">
        <f t="shared" si="53"/>
        <v>0</v>
      </c>
      <c r="BE30" s="113">
        <f t="shared" si="53"/>
        <v>0</v>
      </c>
      <c r="BF30" s="113">
        <f t="shared" si="53"/>
        <v>0</v>
      </c>
      <c r="BG30" s="113">
        <f t="shared" si="53"/>
        <v>0</v>
      </c>
      <c r="BH30" s="113">
        <f t="shared" si="53"/>
        <v>0</v>
      </c>
      <c r="BI30" s="113">
        <f t="shared" si="53"/>
        <v>0</v>
      </c>
      <c r="BJ30" s="113">
        <f t="shared" si="53"/>
        <v>0</v>
      </c>
      <c r="BK30" s="113">
        <f t="shared" si="53"/>
        <v>0</v>
      </c>
      <c r="BL30" s="113">
        <f t="shared" si="53"/>
        <v>0</v>
      </c>
      <c r="BM30" s="113">
        <f t="shared" si="53"/>
        <v>0</v>
      </c>
      <c r="BN30" s="113">
        <f t="shared" si="53"/>
        <v>0</v>
      </c>
      <c r="BO30" s="113">
        <f t="shared" si="53"/>
        <v>0</v>
      </c>
      <c r="BP30" s="113">
        <f t="shared" si="52"/>
        <v>0</v>
      </c>
      <c r="BQ30" s="113">
        <f aca="true" t="shared" si="54" ref="BQ30:BR109">IF(kontonr=BQ$5,$N30,0)</f>
        <v>0</v>
      </c>
      <c r="BR30" s="113">
        <f t="shared" si="54"/>
        <v>0</v>
      </c>
      <c r="BS30" s="113">
        <f t="shared" si="47"/>
        <v>0</v>
      </c>
      <c r="BT30" s="113">
        <f t="shared" si="48"/>
        <v>0</v>
      </c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08">
        <f t="shared" si="49"/>
      </c>
      <c r="CJ30" s="113"/>
      <c r="CK30" s="113"/>
      <c r="CL30" s="113"/>
      <c r="CM30" s="113"/>
    </row>
    <row r="31" spans="1:91" s="112" customFormat="1" ht="15">
      <c r="A31" s="103"/>
      <c r="B31" s="104"/>
      <c r="C31" s="105"/>
      <c r="D31" s="106"/>
      <c r="E31" s="107">
        <f t="shared" si="2"/>
      </c>
      <c r="F31" s="108">
        <f t="shared" si="8"/>
      </c>
      <c r="G31" s="109"/>
      <c r="H31" s="110"/>
      <c r="I31" s="486">
        <f t="shared" si="9"/>
        <v>0</v>
      </c>
      <c r="J31" s="486">
        <f t="shared" si="3"/>
        <v>0</v>
      </c>
      <c r="K31" s="486">
        <f t="shared" si="4"/>
        <v>0</v>
      </c>
      <c r="L31" s="111">
        <f t="shared" si="10"/>
        <v>0</v>
      </c>
      <c r="M31" s="176">
        <f aca="true" t="shared" si="55" ref="M31:M110">IF(kontonr&gt;=3000,IF(kontonr&lt;10000,-nettobeløp,0),0)</f>
        <v>0</v>
      </c>
      <c r="N31" s="177">
        <f t="shared" si="5"/>
        <v>0</v>
      </c>
      <c r="P31" s="306">
        <f t="shared" si="12"/>
        <v>0</v>
      </c>
      <c r="Q31" s="71">
        <f t="shared" si="13"/>
        <v>0</v>
      </c>
      <c r="R31" s="71">
        <f t="shared" si="14"/>
        <v>0</v>
      </c>
      <c r="S31" s="71">
        <f t="shared" si="15"/>
        <v>0</v>
      </c>
      <c r="T31" s="71">
        <f>IF(kontonr&gt;1499,IF(kontonr&lt;1560,$N31),0)+IF(kontonr&gt;(Kontoplan!P$3-1),IF(kontonr&lt;(Kontoplan!P$3+300),$N31,0),0)</f>
        <v>0</v>
      </c>
      <c r="U31" s="71">
        <f t="shared" si="16"/>
        <v>0</v>
      </c>
      <c r="V31" s="71">
        <f t="shared" si="17"/>
        <v>0</v>
      </c>
      <c r="W31" s="71">
        <f t="shared" si="18"/>
        <v>0</v>
      </c>
      <c r="X31" s="71">
        <f t="shared" si="19"/>
        <v>0</v>
      </c>
      <c r="Y31" s="71">
        <f t="shared" si="20"/>
        <v>0</v>
      </c>
      <c r="Z31" s="71">
        <f>IF(kontonr&gt;2399,IF(kontonr&lt;2500,$N31),0)+IF(kontonr&gt;(Kontoplan!$P$4-1),IF(kontonr&lt;(Kontoplan!$P$4+600),$N31,0),0)</f>
        <v>0</v>
      </c>
      <c r="AA31" s="71">
        <f t="shared" si="21"/>
        <v>0</v>
      </c>
      <c r="AB31" s="71">
        <f t="shared" si="22"/>
        <v>0</v>
      </c>
      <c r="AC31" s="71">
        <f t="shared" si="23"/>
        <v>0</v>
      </c>
      <c r="AD31" s="71">
        <f t="shared" si="24"/>
        <v>0</v>
      </c>
      <c r="AE31" s="71">
        <f t="shared" si="25"/>
        <v>0</v>
      </c>
      <c r="AF31" s="306">
        <f t="shared" si="26"/>
        <v>0</v>
      </c>
      <c r="AG31" s="74">
        <f t="shared" si="27"/>
        <v>0</v>
      </c>
      <c r="AH31" s="71">
        <f t="shared" si="28"/>
        <v>0</v>
      </c>
      <c r="AI31" s="71">
        <f t="shared" si="29"/>
        <v>0</v>
      </c>
      <c r="AJ31" s="71">
        <f aca="true" t="shared" si="56" ref="AJ31:AJ110">IF(kontonr&gt;4999,IF(kontonr&lt;6000,$M31,0),0)</f>
        <v>0</v>
      </c>
      <c r="AK31" s="71">
        <f t="shared" si="31"/>
        <v>0</v>
      </c>
      <c r="AL31" s="71">
        <f t="shared" si="32"/>
        <v>0</v>
      </c>
      <c r="AM31" s="71">
        <f aca="true" t="shared" si="57" ref="AM31:AM110">IF(kontonr&gt;7999,IF(kontonr&lt;8100,$M31,0),0)</f>
        <v>0</v>
      </c>
      <c r="AN31" s="71">
        <f aca="true" t="shared" si="58" ref="AN31:AN110">IF(kontonr&gt;8099,IF(kontonr&lt;8200,$M31,0),0)</f>
        <v>0</v>
      </c>
      <c r="AO31" s="71">
        <f t="shared" si="35"/>
        <v>0</v>
      </c>
      <c r="AP31" s="71">
        <f t="shared" si="36"/>
        <v>0</v>
      </c>
      <c r="AQ31" s="71">
        <f t="shared" si="37"/>
        <v>0</v>
      </c>
      <c r="AR31" s="71">
        <f t="shared" si="38"/>
        <v>0</v>
      </c>
      <c r="AS31" s="71">
        <f t="shared" si="39"/>
        <v>0</v>
      </c>
      <c r="AT31" s="71">
        <f t="shared" si="40"/>
        <v>0</v>
      </c>
      <c r="AU31" s="306">
        <f t="shared" si="41"/>
        <v>0</v>
      </c>
      <c r="AV31" s="71">
        <f t="shared" si="42"/>
        <v>0</v>
      </c>
      <c r="AW31" s="71">
        <f t="shared" si="43"/>
        <v>0</v>
      </c>
      <c r="AX31" s="71">
        <f t="shared" si="44"/>
        <v>0</v>
      </c>
      <c r="AY31" s="113">
        <f aca="true" t="shared" si="59" ref="AY31:AY110">IF(kontonr=AY$5,$N31,0)</f>
        <v>0</v>
      </c>
      <c r="AZ31" s="113">
        <f t="shared" si="46"/>
        <v>0</v>
      </c>
      <c r="BA31" s="113">
        <f t="shared" si="53"/>
        <v>0</v>
      </c>
      <c r="BB31" s="113">
        <f t="shared" si="53"/>
        <v>0</v>
      </c>
      <c r="BC31" s="113">
        <f t="shared" si="53"/>
        <v>0</v>
      </c>
      <c r="BD31" s="113">
        <f t="shared" si="53"/>
        <v>0</v>
      </c>
      <c r="BE31" s="113">
        <f t="shared" si="53"/>
        <v>0</v>
      </c>
      <c r="BF31" s="113">
        <f t="shared" si="53"/>
        <v>0</v>
      </c>
      <c r="BG31" s="113">
        <f t="shared" si="53"/>
        <v>0</v>
      </c>
      <c r="BH31" s="113">
        <f t="shared" si="53"/>
        <v>0</v>
      </c>
      <c r="BI31" s="113">
        <f t="shared" si="53"/>
        <v>0</v>
      </c>
      <c r="BJ31" s="113">
        <f t="shared" si="53"/>
        <v>0</v>
      </c>
      <c r="BK31" s="113">
        <f t="shared" si="53"/>
        <v>0</v>
      </c>
      <c r="BL31" s="113">
        <f t="shared" si="53"/>
        <v>0</v>
      </c>
      <c r="BM31" s="113">
        <f t="shared" si="53"/>
        <v>0</v>
      </c>
      <c r="BN31" s="113">
        <f t="shared" si="53"/>
        <v>0</v>
      </c>
      <c r="BO31" s="113">
        <f t="shared" si="53"/>
        <v>0</v>
      </c>
      <c r="BP31" s="113">
        <f t="shared" si="52"/>
        <v>0</v>
      </c>
      <c r="BQ31" s="113">
        <f t="shared" si="54"/>
        <v>0</v>
      </c>
      <c r="BR31" s="113">
        <f t="shared" si="54"/>
        <v>0</v>
      </c>
      <c r="BS31" s="113">
        <f t="shared" si="47"/>
        <v>0</v>
      </c>
      <c r="BT31" s="113">
        <f t="shared" si="48"/>
        <v>0</v>
      </c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08">
        <f t="shared" si="49"/>
      </c>
      <c r="CJ31" s="113"/>
      <c r="CK31" s="113"/>
      <c r="CL31" s="113"/>
      <c r="CM31" s="113"/>
    </row>
    <row r="32" spans="1:91" s="112" customFormat="1" ht="15" customHeight="1">
      <c r="A32" s="103"/>
      <c r="B32" s="104"/>
      <c r="C32" s="105"/>
      <c r="D32" s="106"/>
      <c r="E32" s="107">
        <f aca="true" t="shared" si="60" ref="E32:E117">IF(kontonr="","",VLOOKUP(kontonr,kontoplan,2))</f>
      </c>
      <c r="F32" s="108">
        <f t="shared" si="8"/>
      </c>
      <c r="G32" s="109"/>
      <c r="H32" s="110"/>
      <c r="I32" s="486">
        <f aca="true" t="shared" si="61" ref="I32:I117">+debet-kredit-imva-invavg-umva</f>
        <v>0</v>
      </c>
      <c r="J32" s="486">
        <f t="shared" si="3"/>
        <v>0</v>
      </c>
      <c r="K32" s="486">
        <f t="shared" si="4"/>
        <v>0</v>
      </c>
      <c r="L32" s="111">
        <f t="shared" si="10"/>
        <v>0</v>
      </c>
      <c r="M32" s="176">
        <f t="shared" si="55"/>
        <v>0</v>
      </c>
      <c r="N32" s="177">
        <f t="shared" si="5"/>
        <v>0</v>
      </c>
      <c r="P32" s="306">
        <f t="shared" si="12"/>
        <v>0</v>
      </c>
      <c r="Q32" s="71">
        <f t="shared" si="13"/>
        <v>0</v>
      </c>
      <c r="R32" s="71">
        <f t="shared" si="14"/>
        <v>0</v>
      </c>
      <c r="S32" s="71">
        <f t="shared" si="15"/>
        <v>0</v>
      </c>
      <c r="T32" s="71">
        <f>IF(kontonr&gt;1499,IF(kontonr&lt;1560,$N32),0)+IF(kontonr&gt;(Kontoplan!P$3-1),IF(kontonr&lt;(Kontoplan!P$3+300),$N32,0),0)</f>
        <v>0</v>
      </c>
      <c r="U32" s="71">
        <f t="shared" si="16"/>
        <v>0</v>
      </c>
      <c r="V32" s="71">
        <f t="shared" si="17"/>
        <v>0</v>
      </c>
      <c r="W32" s="71">
        <f t="shared" si="18"/>
        <v>0</v>
      </c>
      <c r="X32" s="71">
        <f t="shared" si="19"/>
        <v>0</v>
      </c>
      <c r="Y32" s="71">
        <f t="shared" si="20"/>
        <v>0</v>
      </c>
      <c r="Z32" s="71">
        <f>IF(kontonr&gt;2399,IF(kontonr&lt;2500,$N32),0)+IF(kontonr&gt;(Kontoplan!$P$4-1),IF(kontonr&lt;(Kontoplan!$P$4+600),$N32,0),0)</f>
        <v>0</v>
      </c>
      <c r="AA32" s="71">
        <f t="shared" si="21"/>
        <v>0</v>
      </c>
      <c r="AB32" s="71">
        <f t="shared" si="22"/>
        <v>0</v>
      </c>
      <c r="AC32" s="71">
        <f t="shared" si="23"/>
        <v>0</v>
      </c>
      <c r="AD32" s="71">
        <f t="shared" si="24"/>
        <v>0</v>
      </c>
      <c r="AE32" s="71">
        <f t="shared" si="25"/>
        <v>0</v>
      </c>
      <c r="AF32" s="306">
        <f t="shared" si="26"/>
        <v>0</v>
      </c>
      <c r="AG32" s="74">
        <f t="shared" si="27"/>
        <v>0</v>
      </c>
      <c r="AH32" s="71">
        <f t="shared" si="28"/>
        <v>0</v>
      </c>
      <c r="AI32" s="71">
        <f t="shared" si="29"/>
        <v>0</v>
      </c>
      <c r="AJ32" s="71">
        <f t="shared" si="56"/>
        <v>0</v>
      </c>
      <c r="AK32" s="71">
        <f t="shared" si="31"/>
        <v>0</v>
      </c>
      <c r="AL32" s="71">
        <f t="shared" si="32"/>
        <v>0</v>
      </c>
      <c r="AM32" s="71">
        <f t="shared" si="57"/>
        <v>0</v>
      </c>
      <c r="AN32" s="71">
        <f t="shared" si="58"/>
        <v>0</v>
      </c>
      <c r="AO32" s="71">
        <f t="shared" si="35"/>
        <v>0</v>
      </c>
      <c r="AP32" s="71">
        <f t="shared" si="36"/>
        <v>0</v>
      </c>
      <c r="AQ32" s="71">
        <f t="shared" si="37"/>
        <v>0</v>
      </c>
      <c r="AR32" s="71">
        <f t="shared" si="38"/>
        <v>0</v>
      </c>
      <c r="AS32" s="71">
        <f t="shared" si="39"/>
        <v>0</v>
      </c>
      <c r="AT32" s="71">
        <f t="shared" si="40"/>
        <v>0</v>
      </c>
      <c r="AU32" s="306">
        <f t="shared" si="41"/>
        <v>0</v>
      </c>
      <c r="AV32" s="71">
        <f t="shared" si="42"/>
        <v>0</v>
      </c>
      <c r="AW32" s="71">
        <f t="shared" si="43"/>
        <v>0</v>
      </c>
      <c r="AX32" s="71">
        <f t="shared" si="44"/>
        <v>0</v>
      </c>
      <c r="AY32" s="113">
        <f t="shared" si="59"/>
        <v>0</v>
      </c>
      <c r="AZ32" s="113">
        <f t="shared" si="46"/>
        <v>0</v>
      </c>
      <c r="BA32" s="113">
        <f t="shared" si="53"/>
        <v>0</v>
      </c>
      <c r="BB32" s="113">
        <f t="shared" si="53"/>
        <v>0</v>
      </c>
      <c r="BC32" s="113">
        <f t="shared" si="53"/>
        <v>0</v>
      </c>
      <c r="BD32" s="113">
        <f t="shared" si="53"/>
        <v>0</v>
      </c>
      <c r="BE32" s="113">
        <f t="shared" si="53"/>
        <v>0</v>
      </c>
      <c r="BF32" s="113">
        <f t="shared" si="53"/>
        <v>0</v>
      </c>
      <c r="BG32" s="113">
        <f t="shared" si="53"/>
        <v>0</v>
      </c>
      <c r="BH32" s="113">
        <f t="shared" si="53"/>
        <v>0</v>
      </c>
      <c r="BI32" s="113">
        <f t="shared" si="53"/>
        <v>0</v>
      </c>
      <c r="BJ32" s="113">
        <f t="shared" si="53"/>
        <v>0</v>
      </c>
      <c r="BK32" s="113">
        <f t="shared" si="53"/>
        <v>0</v>
      </c>
      <c r="BL32" s="113">
        <f t="shared" si="53"/>
        <v>0</v>
      </c>
      <c r="BM32" s="113">
        <f t="shared" si="53"/>
        <v>0</v>
      </c>
      <c r="BN32" s="113">
        <f t="shared" si="53"/>
        <v>0</v>
      </c>
      <c r="BO32" s="113">
        <f t="shared" si="53"/>
        <v>0</v>
      </c>
      <c r="BP32" s="113">
        <f t="shared" si="52"/>
        <v>0</v>
      </c>
      <c r="BQ32" s="113">
        <f t="shared" si="54"/>
        <v>0</v>
      </c>
      <c r="BR32" s="113">
        <f t="shared" si="54"/>
        <v>0</v>
      </c>
      <c r="BS32" s="113">
        <f t="shared" si="47"/>
        <v>0</v>
      </c>
      <c r="BT32" s="113">
        <f t="shared" si="48"/>
        <v>0</v>
      </c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08">
        <f t="shared" si="49"/>
      </c>
      <c r="CJ32" s="113"/>
      <c r="CK32" s="113"/>
      <c r="CL32" s="113"/>
      <c r="CM32" s="113"/>
    </row>
    <row r="33" spans="1:91" s="112" customFormat="1" ht="15" customHeight="1">
      <c r="A33" s="103"/>
      <c r="B33" s="104"/>
      <c r="C33" s="105"/>
      <c r="D33" s="106"/>
      <c r="E33" s="107">
        <f t="shared" si="60"/>
      </c>
      <c r="F33" s="108">
        <f t="shared" si="8"/>
      </c>
      <c r="G33" s="109"/>
      <c r="H33" s="110"/>
      <c r="I33" s="486">
        <f t="shared" si="61"/>
        <v>0</v>
      </c>
      <c r="J33" s="486">
        <f t="shared" si="3"/>
        <v>0</v>
      </c>
      <c r="K33" s="486">
        <f t="shared" si="4"/>
        <v>0</v>
      </c>
      <c r="L33" s="111">
        <f t="shared" si="10"/>
        <v>0</v>
      </c>
      <c r="M33" s="176">
        <f t="shared" si="55"/>
        <v>0</v>
      </c>
      <c r="N33" s="177">
        <f t="shared" si="5"/>
        <v>0</v>
      </c>
      <c r="P33" s="306">
        <f t="shared" si="12"/>
        <v>0</v>
      </c>
      <c r="Q33" s="71">
        <f t="shared" si="13"/>
        <v>0</v>
      </c>
      <c r="R33" s="71">
        <f t="shared" si="14"/>
        <v>0</v>
      </c>
      <c r="S33" s="71">
        <f t="shared" si="15"/>
        <v>0</v>
      </c>
      <c r="T33" s="71">
        <f>IF(kontonr&gt;1499,IF(kontonr&lt;1560,$N33),0)+IF(kontonr&gt;(Kontoplan!P$3-1),IF(kontonr&lt;(Kontoplan!P$3+300),$N33,0),0)</f>
        <v>0</v>
      </c>
      <c r="U33" s="71">
        <f t="shared" si="16"/>
        <v>0</v>
      </c>
      <c r="V33" s="71">
        <f t="shared" si="17"/>
        <v>0</v>
      </c>
      <c r="W33" s="71">
        <f t="shared" si="18"/>
        <v>0</v>
      </c>
      <c r="X33" s="71">
        <f t="shared" si="19"/>
        <v>0</v>
      </c>
      <c r="Y33" s="71">
        <f t="shared" si="20"/>
        <v>0</v>
      </c>
      <c r="Z33" s="71">
        <f>IF(kontonr&gt;2399,IF(kontonr&lt;2500,$N33),0)+IF(kontonr&gt;(Kontoplan!$P$4-1),IF(kontonr&lt;(Kontoplan!$P$4+600),$N33,0),0)</f>
        <v>0</v>
      </c>
      <c r="AA33" s="71">
        <f t="shared" si="21"/>
        <v>0</v>
      </c>
      <c r="AB33" s="71">
        <f t="shared" si="22"/>
        <v>0</v>
      </c>
      <c r="AC33" s="71">
        <f t="shared" si="23"/>
        <v>0</v>
      </c>
      <c r="AD33" s="71">
        <f t="shared" si="24"/>
        <v>0</v>
      </c>
      <c r="AE33" s="71">
        <f t="shared" si="25"/>
        <v>0</v>
      </c>
      <c r="AF33" s="306">
        <f t="shared" si="26"/>
        <v>0</v>
      </c>
      <c r="AG33" s="74">
        <f t="shared" si="27"/>
        <v>0</v>
      </c>
      <c r="AH33" s="71">
        <f t="shared" si="28"/>
        <v>0</v>
      </c>
      <c r="AI33" s="71">
        <f t="shared" si="29"/>
        <v>0</v>
      </c>
      <c r="AJ33" s="71">
        <f t="shared" si="56"/>
        <v>0</v>
      </c>
      <c r="AK33" s="71">
        <f t="shared" si="31"/>
        <v>0</v>
      </c>
      <c r="AL33" s="71">
        <f t="shared" si="32"/>
        <v>0</v>
      </c>
      <c r="AM33" s="71">
        <f t="shared" si="57"/>
        <v>0</v>
      </c>
      <c r="AN33" s="71">
        <f t="shared" si="58"/>
        <v>0</v>
      </c>
      <c r="AO33" s="71">
        <f t="shared" si="35"/>
        <v>0</v>
      </c>
      <c r="AP33" s="71">
        <f t="shared" si="36"/>
        <v>0</v>
      </c>
      <c r="AQ33" s="71">
        <f t="shared" si="37"/>
        <v>0</v>
      </c>
      <c r="AR33" s="71">
        <f t="shared" si="38"/>
        <v>0</v>
      </c>
      <c r="AS33" s="71">
        <f t="shared" si="39"/>
        <v>0</v>
      </c>
      <c r="AT33" s="71">
        <f t="shared" si="40"/>
        <v>0</v>
      </c>
      <c r="AU33" s="306">
        <f t="shared" si="41"/>
        <v>0</v>
      </c>
      <c r="AV33" s="71">
        <f t="shared" si="42"/>
        <v>0</v>
      </c>
      <c r="AW33" s="71">
        <f t="shared" si="43"/>
        <v>0</v>
      </c>
      <c r="AX33" s="71">
        <f t="shared" si="44"/>
        <v>0</v>
      </c>
      <c r="AY33" s="113">
        <f t="shared" si="59"/>
        <v>0</v>
      </c>
      <c r="AZ33" s="113">
        <f t="shared" si="46"/>
        <v>0</v>
      </c>
      <c r="BA33" s="113">
        <f t="shared" si="53"/>
        <v>0</v>
      </c>
      <c r="BB33" s="113">
        <f t="shared" si="53"/>
        <v>0</v>
      </c>
      <c r="BC33" s="113">
        <f t="shared" si="53"/>
        <v>0</v>
      </c>
      <c r="BD33" s="113">
        <f t="shared" si="53"/>
        <v>0</v>
      </c>
      <c r="BE33" s="113">
        <f t="shared" si="53"/>
        <v>0</v>
      </c>
      <c r="BF33" s="113">
        <f t="shared" si="53"/>
        <v>0</v>
      </c>
      <c r="BG33" s="113">
        <f t="shared" si="53"/>
        <v>0</v>
      </c>
      <c r="BH33" s="113">
        <f t="shared" si="53"/>
        <v>0</v>
      </c>
      <c r="BI33" s="113">
        <f t="shared" si="53"/>
        <v>0</v>
      </c>
      <c r="BJ33" s="113">
        <f t="shared" si="53"/>
        <v>0</v>
      </c>
      <c r="BK33" s="113">
        <f t="shared" si="53"/>
        <v>0</v>
      </c>
      <c r="BL33" s="113">
        <f t="shared" si="53"/>
        <v>0</v>
      </c>
      <c r="BM33" s="113">
        <f t="shared" si="53"/>
        <v>0</v>
      </c>
      <c r="BN33" s="113">
        <f t="shared" si="53"/>
        <v>0</v>
      </c>
      <c r="BO33" s="113">
        <f t="shared" si="53"/>
        <v>0</v>
      </c>
      <c r="BP33" s="113">
        <f t="shared" si="52"/>
        <v>0</v>
      </c>
      <c r="BQ33" s="113">
        <f t="shared" si="54"/>
        <v>0</v>
      </c>
      <c r="BR33" s="113">
        <f t="shared" si="54"/>
        <v>0</v>
      </c>
      <c r="BS33" s="113">
        <f t="shared" si="47"/>
        <v>0</v>
      </c>
      <c r="BT33" s="113">
        <f t="shared" si="48"/>
        <v>0</v>
      </c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08">
        <f t="shared" si="49"/>
      </c>
      <c r="CJ33" s="113"/>
      <c r="CK33" s="113"/>
      <c r="CL33" s="113"/>
      <c r="CM33" s="113"/>
    </row>
    <row r="34" spans="1:91" s="112" customFormat="1" ht="15" customHeight="1">
      <c r="A34" s="103"/>
      <c r="B34" s="104"/>
      <c r="C34" s="105"/>
      <c r="D34" s="106"/>
      <c r="E34" s="107">
        <f t="shared" si="60"/>
      </c>
      <c r="F34" s="108">
        <f t="shared" si="8"/>
      </c>
      <c r="G34" s="109"/>
      <c r="H34" s="110"/>
      <c r="I34" s="486">
        <f t="shared" si="61"/>
        <v>0</v>
      </c>
      <c r="J34" s="486">
        <f t="shared" si="3"/>
        <v>0</v>
      </c>
      <c r="K34" s="486">
        <f t="shared" si="4"/>
        <v>0</v>
      </c>
      <c r="L34" s="111">
        <f t="shared" si="10"/>
        <v>0</v>
      </c>
      <c r="M34" s="176">
        <f t="shared" si="55"/>
        <v>0</v>
      </c>
      <c r="N34" s="177">
        <f t="shared" si="5"/>
        <v>0</v>
      </c>
      <c r="P34" s="306">
        <f t="shared" si="12"/>
        <v>0</v>
      </c>
      <c r="Q34" s="71">
        <f t="shared" si="13"/>
        <v>0</v>
      </c>
      <c r="R34" s="71">
        <f t="shared" si="14"/>
        <v>0</v>
      </c>
      <c r="S34" s="71">
        <f t="shared" si="15"/>
        <v>0</v>
      </c>
      <c r="T34" s="71">
        <f>IF(kontonr&gt;1499,IF(kontonr&lt;1560,$N34),0)+IF(kontonr&gt;(Kontoplan!P$3-1),IF(kontonr&lt;(Kontoplan!P$3+300),$N34,0),0)</f>
        <v>0</v>
      </c>
      <c r="U34" s="71">
        <f t="shared" si="16"/>
        <v>0</v>
      </c>
      <c r="V34" s="71">
        <f t="shared" si="17"/>
        <v>0</v>
      </c>
      <c r="W34" s="71">
        <f t="shared" si="18"/>
        <v>0</v>
      </c>
      <c r="X34" s="71">
        <f t="shared" si="19"/>
        <v>0</v>
      </c>
      <c r="Y34" s="71">
        <f t="shared" si="20"/>
        <v>0</v>
      </c>
      <c r="Z34" s="71">
        <f>IF(kontonr&gt;2399,IF(kontonr&lt;2500,$N34),0)+IF(kontonr&gt;(Kontoplan!$P$4-1),IF(kontonr&lt;(Kontoplan!$P$4+600),$N34,0),0)</f>
        <v>0</v>
      </c>
      <c r="AA34" s="71">
        <f t="shared" si="21"/>
        <v>0</v>
      </c>
      <c r="AB34" s="71">
        <f t="shared" si="22"/>
        <v>0</v>
      </c>
      <c r="AC34" s="71">
        <f t="shared" si="23"/>
        <v>0</v>
      </c>
      <c r="AD34" s="71">
        <f t="shared" si="24"/>
        <v>0</v>
      </c>
      <c r="AE34" s="71">
        <f t="shared" si="25"/>
        <v>0</v>
      </c>
      <c r="AF34" s="306">
        <f t="shared" si="26"/>
        <v>0</v>
      </c>
      <c r="AG34" s="74">
        <f t="shared" si="27"/>
        <v>0</v>
      </c>
      <c r="AH34" s="71">
        <f t="shared" si="28"/>
        <v>0</v>
      </c>
      <c r="AI34" s="71">
        <f t="shared" si="29"/>
        <v>0</v>
      </c>
      <c r="AJ34" s="71">
        <f t="shared" si="56"/>
        <v>0</v>
      </c>
      <c r="AK34" s="71">
        <f t="shared" si="31"/>
        <v>0</v>
      </c>
      <c r="AL34" s="71">
        <f t="shared" si="32"/>
        <v>0</v>
      </c>
      <c r="AM34" s="71">
        <f t="shared" si="57"/>
        <v>0</v>
      </c>
      <c r="AN34" s="71">
        <f t="shared" si="58"/>
        <v>0</v>
      </c>
      <c r="AO34" s="71">
        <f t="shared" si="35"/>
        <v>0</v>
      </c>
      <c r="AP34" s="71">
        <f t="shared" si="36"/>
        <v>0</v>
      </c>
      <c r="AQ34" s="71">
        <f t="shared" si="37"/>
        <v>0</v>
      </c>
      <c r="AR34" s="71">
        <f t="shared" si="38"/>
        <v>0</v>
      </c>
      <c r="AS34" s="71">
        <f t="shared" si="39"/>
        <v>0</v>
      </c>
      <c r="AT34" s="71">
        <f t="shared" si="40"/>
        <v>0</v>
      </c>
      <c r="AU34" s="306">
        <f t="shared" si="41"/>
        <v>0</v>
      </c>
      <c r="AV34" s="71">
        <f t="shared" si="42"/>
        <v>0</v>
      </c>
      <c r="AW34" s="71">
        <f t="shared" si="43"/>
        <v>0</v>
      </c>
      <c r="AX34" s="71">
        <f t="shared" si="44"/>
        <v>0</v>
      </c>
      <c r="AY34" s="113">
        <f t="shared" si="59"/>
        <v>0</v>
      </c>
      <c r="AZ34" s="113">
        <f t="shared" si="46"/>
        <v>0</v>
      </c>
      <c r="BA34" s="113">
        <f t="shared" si="53"/>
        <v>0</v>
      </c>
      <c r="BB34" s="113">
        <f t="shared" si="53"/>
        <v>0</v>
      </c>
      <c r="BC34" s="113">
        <f t="shared" si="53"/>
        <v>0</v>
      </c>
      <c r="BD34" s="113">
        <f t="shared" si="53"/>
        <v>0</v>
      </c>
      <c r="BE34" s="113">
        <f t="shared" si="53"/>
        <v>0</v>
      </c>
      <c r="BF34" s="113">
        <f t="shared" si="53"/>
        <v>0</v>
      </c>
      <c r="BG34" s="113">
        <f t="shared" si="53"/>
        <v>0</v>
      </c>
      <c r="BH34" s="113">
        <f t="shared" si="53"/>
        <v>0</v>
      </c>
      <c r="BI34" s="113">
        <f t="shared" si="53"/>
        <v>0</v>
      </c>
      <c r="BJ34" s="113">
        <f t="shared" si="53"/>
        <v>0</v>
      </c>
      <c r="BK34" s="113">
        <f t="shared" si="53"/>
        <v>0</v>
      </c>
      <c r="BL34" s="113">
        <f t="shared" si="53"/>
        <v>0</v>
      </c>
      <c r="BM34" s="113">
        <f t="shared" si="53"/>
        <v>0</v>
      </c>
      <c r="BN34" s="113">
        <f t="shared" si="53"/>
        <v>0</v>
      </c>
      <c r="BO34" s="113">
        <f t="shared" si="53"/>
        <v>0</v>
      </c>
      <c r="BP34" s="113">
        <f t="shared" si="52"/>
        <v>0</v>
      </c>
      <c r="BQ34" s="113">
        <f t="shared" si="54"/>
        <v>0</v>
      </c>
      <c r="BR34" s="113">
        <f t="shared" si="54"/>
        <v>0</v>
      </c>
      <c r="BS34" s="113">
        <f t="shared" si="47"/>
        <v>0</v>
      </c>
      <c r="BT34" s="113">
        <f t="shared" si="48"/>
        <v>0</v>
      </c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08">
        <f t="shared" si="49"/>
      </c>
      <c r="CJ34" s="113"/>
      <c r="CK34" s="113"/>
      <c r="CL34" s="113"/>
      <c r="CM34" s="113"/>
    </row>
    <row r="35" spans="1:91" s="112" customFormat="1" ht="15" customHeight="1">
      <c r="A35" s="103"/>
      <c r="B35" s="104"/>
      <c r="C35" s="105"/>
      <c r="D35" s="106"/>
      <c r="E35" s="107">
        <f t="shared" si="60"/>
      </c>
      <c r="F35" s="108">
        <f t="shared" si="8"/>
      </c>
      <c r="G35" s="109"/>
      <c r="H35" s="110"/>
      <c r="I35" s="486">
        <f t="shared" si="61"/>
        <v>0</v>
      </c>
      <c r="J35" s="486">
        <f t="shared" si="3"/>
        <v>0</v>
      </c>
      <c r="K35" s="486">
        <f t="shared" si="4"/>
        <v>0</v>
      </c>
      <c r="L35" s="111">
        <f t="shared" si="10"/>
        <v>0</v>
      </c>
      <c r="M35" s="176">
        <f t="shared" si="55"/>
        <v>0</v>
      </c>
      <c r="N35" s="177">
        <f t="shared" si="5"/>
        <v>0</v>
      </c>
      <c r="P35" s="306">
        <f t="shared" si="12"/>
        <v>0</v>
      </c>
      <c r="Q35" s="71">
        <f t="shared" si="13"/>
        <v>0</v>
      </c>
      <c r="R35" s="71">
        <f t="shared" si="14"/>
        <v>0</v>
      </c>
      <c r="S35" s="71">
        <f t="shared" si="15"/>
        <v>0</v>
      </c>
      <c r="T35" s="71">
        <f>IF(kontonr&gt;1499,IF(kontonr&lt;1560,$N35),0)+IF(kontonr&gt;(Kontoplan!P$3-1),IF(kontonr&lt;(Kontoplan!P$3+300),$N35,0),0)</f>
        <v>0</v>
      </c>
      <c r="U35" s="71">
        <f t="shared" si="16"/>
        <v>0</v>
      </c>
      <c r="V35" s="71">
        <f t="shared" si="17"/>
        <v>0</v>
      </c>
      <c r="W35" s="71">
        <f t="shared" si="18"/>
        <v>0</v>
      </c>
      <c r="X35" s="71">
        <f t="shared" si="19"/>
        <v>0</v>
      </c>
      <c r="Y35" s="71">
        <f t="shared" si="20"/>
        <v>0</v>
      </c>
      <c r="Z35" s="71">
        <f>IF(kontonr&gt;2399,IF(kontonr&lt;2500,$N35),0)+IF(kontonr&gt;(Kontoplan!$P$4-1),IF(kontonr&lt;(Kontoplan!$P$4+600),$N35,0),0)</f>
        <v>0</v>
      </c>
      <c r="AA35" s="71">
        <f t="shared" si="21"/>
        <v>0</v>
      </c>
      <c r="AB35" s="71">
        <f t="shared" si="22"/>
        <v>0</v>
      </c>
      <c r="AC35" s="71">
        <f t="shared" si="23"/>
        <v>0</v>
      </c>
      <c r="AD35" s="71">
        <f t="shared" si="24"/>
        <v>0</v>
      </c>
      <c r="AE35" s="71">
        <f t="shared" si="25"/>
        <v>0</v>
      </c>
      <c r="AF35" s="306">
        <f t="shared" si="26"/>
        <v>0</v>
      </c>
      <c r="AG35" s="74">
        <f t="shared" si="27"/>
        <v>0</v>
      </c>
      <c r="AH35" s="71">
        <f t="shared" si="28"/>
        <v>0</v>
      </c>
      <c r="AI35" s="71">
        <f t="shared" si="29"/>
        <v>0</v>
      </c>
      <c r="AJ35" s="71">
        <f t="shared" si="56"/>
        <v>0</v>
      </c>
      <c r="AK35" s="71">
        <f t="shared" si="31"/>
        <v>0</v>
      </c>
      <c r="AL35" s="71">
        <f t="shared" si="32"/>
        <v>0</v>
      </c>
      <c r="AM35" s="71">
        <f t="shared" si="57"/>
        <v>0</v>
      </c>
      <c r="AN35" s="71">
        <f t="shared" si="58"/>
        <v>0</v>
      </c>
      <c r="AO35" s="71">
        <f t="shared" si="35"/>
        <v>0</v>
      </c>
      <c r="AP35" s="71">
        <f t="shared" si="36"/>
        <v>0</v>
      </c>
      <c r="AQ35" s="71">
        <f t="shared" si="37"/>
        <v>0</v>
      </c>
      <c r="AR35" s="71">
        <f t="shared" si="38"/>
        <v>0</v>
      </c>
      <c r="AS35" s="71">
        <f t="shared" si="39"/>
        <v>0</v>
      </c>
      <c r="AT35" s="71">
        <f t="shared" si="40"/>
        <v>0</v>
      </c>
      <c r="AU35" s="306">
        <f t="shared" si="41"/>
        <v>0</v>
      </c>
      <c r="AV35" s="71">
        <f t="shared" si="42"/>
        <v>0</v>
      </c>
      <c r="AW35" s="71">
        <f t="shared" si="43"/>
        <v>0</v>
      </c>
      <c r="AX35" s="71">
        <f t="shared" si="44"/>
        <v>0</v>
      </c>
      <c r="AY35" s="113">
        <f t="shared" si="59"/>
        <v>0</v>
      </c>
      <c r="AZ35" s="113">
        <f t="shared" si="46"/>
        <v>0</v>
      </c>
      <c r="BA35" s="113">
        <f t="shared" si="53"/>
        <v>0</v>
      </c>
      <c r="BB35" s="113">
        <f t="shared" si="53"/>
        <v>0</v>
      </c>
      <c r="BC35" s="113">
        <f t="shared" si="53"/>
        <v>0</v>
      </c>
      <c r="BD35" s="113">
        <f t="shared" si="53"/>
        <v>0</v>
      </c>
      <c r="BE35" s="113">
        <f t="shared" si="53"/>
        <v>0</v>
      </c>
      <c r="BF35" s="113">
        <f t="shared" si="53"/>
        <v>0</v>
      </c>
      <c r="BG35" s="113">
        <f t="shared" si="53"/>
        <v>0</v>
      </c>
      <c r="BH35" s="113">
        <f t="shared" si="53"/>
        <v>0</v>
      </c>
      <c r="BI35" s="113">
        <f t="shared" si="53"/>
        <v>0</v>
      </c>
      <c r="BJ35" s="113">
        <f t="shared" si="53"/>
        <v>0</v>
      </c>
      <c r="BK35" s="113">
        <f t="shared" si="53"/>
        <v>0</v>
      </c>
      <c r="BL35" s="113">
        <f t="shared" si="53"/>
        <v>0</v>
      </c>
      <c r="BM35" s="113">
        <f t="shared" si="53"/>
        <v>0</v>
      </c>
      <c r="BN35" s="113">
        <f t="shared" si="53"/>
        <v>0</v>
      </c>
      <c r="BO35" s="113">
        <f t="shared" si="53"/>
        <v>0</v>
      </c>
      <c r="BP35" s="113">
        <f t="shared" si="52"/>
        <v>0</v>
      </c>
      <c r="BQ35" s="113">
        <f t="shared" si="54"/>
        <v>0</v>
      </c>
      <c r="BR35" s="113">
        <f t="shared" si="54"/>
        <v>0</v>
      </c>
      <c r="BS35" s="113">
        <f t="shared" si="47"/>
        <v>0</v>
      </c>
      <c r="BT35" s="113">
        <f t="shared" si="48"/>
        <v>0</v>
      </c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08">
        <f t="shared" si="49"/>
      </c>
      <c r="CJ35" s="113"/>
      <c r="CK35" s="113"/>
      <c r="CL35" s="113"/>
      <c r="CM35" s="113"/>
    </row>
    <row r="36" spans="1:91" s="112" customFormat="1" ht="15" customHeight="1">
      <c r="A36" s="103"/>
      <c r="B36" s="104"/>
      <c r="C36" s="105"/>
      <c r="D36" s="106"/>
      <c r="E36" s="107">
        <f t="shared" si="60"/>
      </c>
      <c r="F36" s="108">
        <f t="shared" si="8"/>
      </c>
      <c r="G36" s="109"/>
      <c r="H36" s="110"/>
      <c r="I36" s="486">
        <f t="shared" si="61"/>
        <v>0</v>
      </c>
      <c r="J36" s="486">
        <f t="shared" si="3"/>
        <v>0</v>
      </c>
      <c r="K36" s="486">
        <f t="shared" si="4"/>
        <v>0</v>
      </c>
      <c r="L36" s="111">
        <f t="shared" si="10"/>
        <v>0</v>
      </c>
      <c r="M36" s="176">
        <f t="shared" si="55"/>
        <v>0</v>
      </c>
      <c r="N36" s="177">
        <f t="shared" si="5"/>
        <v>0</v>
      </c>
      <c r="P36" s="306">
        <f t="shared" si="12"/>
        <v>0</v>
      </c>
      <c r="Q36" s="71">
        <f t="shared" si="13"/>
        <v>0</v>
      </c>
      <c r="R36" s="71">
        <f t="shared" si="14"/>
        <v>0</v>
      </c>
      <c r="S36" s="71">
        <f t="shared" si="15"/>
        <v>0</v>
      </c>
      <c r="T36" s="71">
        <f>IF(kontonr&gt;1499,IF(kontonr&lt;1560,$N36),0)+IF(kontonr&gt;(Kontoplan!P$3-1),IF(kontonr&lt;(Kontoplan!P$3+300),$N36,0),0)</f>
        <v>0</v>
      </c>
      <c r="U36" s="71">
        <f t="shared" si="16"/>
        <v>0</v>
      </c>
      <c r="V36" s="71">
        <f t="shared" si="17"/>
        <v>0</v>
      </c>
      <c r="W36" s="71">
        <f t="shared" si="18"/>
        <v>0</v>
      </c>
      <c r="X36" s="71">
        <f t="shared" si="19"/>
        <v>0</v>
      </c>
      <c r="Y36" s="71">
        <f t="shared" si="20"/>
        <v>0</v>
      </c>
      <c r="Z36" s="71">
        <f>IF(kontonr&gt;2399,IF(kontonr&lt;2500,$N36),0)+IF(kontonr&gt;(Kontoplan!$P$4-1),IF(kontonr&lt;(Kontoplan!$P$4+600),$N36,0),0)</f>
        <v>0</v>
      </c>
      <c r="AA36" s="71">
        <f t="shared" si="21"/>
        <v>0</v>
      </c>
      <c r="AB36" s="71">
        <f t="shared" si="22"/>
        <v>0</v>
      </c>
      <c r="AC36" s="71">
        <f t="shared" si="23"/>
        <v>0</v>
      </c>
      <c r="AD36" s="71">
        <f t="shared" si="24"/>
        <v>0</v>
      </c>
      <c r="AE36" s="71">
        <f t="shared" si="25"/>
        <v>0</v>
      </c>
      <c r="AF36" s="306">
        <f t="shared" si="26"/>
        <v>0</v>
      </c>
      <c r="AG36" s="74">
        <f t="shared" si="27"/>
        <v>0</v>
      </c>
      <c r="AH36" s="71">
        <f t="shared" si="28"/>
        <v>0</v>
      </c>
      <c r="AI36" s="71">
        <f t="shared" si="29"/>
        <v>0</v>
      </c>
      <c r="AJ36" s="71">
        <f t="shared" si="56"/>
        <v>0</v>
      </c>
      <c r="AK36" s="71">
        <f t="shared" si="31"/>
        <v>0</v>
      </c>
      <c r="AL36" s="71">
        <f t="shared" si="32"/>
        <v>0</v>
      </c>
      <c r="AM36" s="71">
        <f t="shared" si="57"/>
        <v>0</v>
      </c>
      <c r="AN36" s="71">
        <f t="shared" si="58"/>
        <v>0</v>
      </c>
      <c r="AO36" s="71">
        <f t="shared" si="35"/>
        <v>0</v>
      </c>
      <c r="AP36" s="71">
        <f t="shared" si="36"/>
        <v>0</v>
      </c>
      <c r="AQ36" s="71">
        <f t="shared" si="37"/>
        <v>0</v>
      </c>
      <c r="AR36" s="71">
        <f t="shared" si="38"/>
        <v>0</v>
      </c>
      <c r="AS36" s="71">
        <f t="shared" si="39"/>
        <v>0</v>
      </c>
      <c r="AT36" s="71">
        <f t="shared" si="40"/>
        <v>0</v>
      </c>
      <c r="AU36" s="306">
        <f t="shared" si="41"/>
        <v>0</v>
      </c>
      <c r="AV36" s="71">
        <f t="shared" si="42"/>
        <v>0</v>
      </c>
      <c r="AW36" s="71">
        <f t="shared" si="43"/>
        <v>0</v>
      </c>
      <c r="AX36" s="71">
        <f t="shared" si="44"/>
        <v>0</v>
      </c>
      <c r="AY36" s="113">
        <f t="shared" si="59"/>
        <v>0</v>
      </c>
      <c r="AZ36" s="113">
        <f t="shared" si="46"/>
        <v>0</v>
      </c>
      <c r="BA36" s="113">
        <f t="shared" si="53"/>
        <v>0</v>
      </c>
      <c r="BB36" s="113">
        <f t="shared" si="53"/>
        <v>0</v>
      </c>
      <c r="BC36" s="113">
        <f t="shared" si="53"/>
        <v>0</v>
      </c>
      <c r="BD36" s="113">
        <f t="shared" si="53"/>
        <v>0</v>
      </c>
      <c r="BE36" s="113">
        <f t="shared" si="53"/>
        <v>0</v>
      </c>
      <c r="BF36" s="113">
        <f t="shared" si="53"/>
        <v>0</v>
      </c>
      <c r="BG36" s="113">
        <f t="shared" si="53"/>
        <v>0</v>
      </c>
      <c r="BH36" s="113">
        <f t="shared" si="53"/>
        <v>0</v>
      </c>
      <c r="BI36" s="113">
        <f t="shared" si="53"/>
        <v>0</v>
      </c>
      <c r="BJ36" s="113">
        <f t="shared" si="53"/>
        <v>0</v>
      </c>
      <c r="BK36" s="113">
        <f t="shared" si="53"/>
        <v>0</v>
      </c>
      <c r="BL36" s="113">
        <f t="shared" si="53"/>
        <v>0</v>
      </c>
      <c r="BM36" s="113">
        <f t="shared" si="53"/>
        <v>0</v>
      </c>
      <c r="BN36" s="113">
        <f t="shared" si="53"/>
        <v>0</v>
      </c>
      <c r="BO36" s="113">
        <f t="shared" si="53"/>
        <v>0</v>
      </c>
      <c r="BP36" s="113">
        <f t="shared" si="52"/>
        <v>0</v>
      </c>
      <c r="BQ36" s="113">
        <f t="shared" si="54"/>
        <v>0</v>
      </c>
      <c r="BR36" s="113">
        <f t="shared" si="54"/>
        <v>0</v>
      </c>
      <c r="BS36" s="113">
        <f t="shared" si="47"/>
        <v>0</v>
      </c>
      <c r="BT36" s="113">
        <f t="shared" si="48"/>
        <v>0</v>
      </c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08">
        <f t="shared" si="49"/>
      </c>
      <c r="CJ36" s="113"/>
      <c r="CK36" s="113"/>
      <c r="CL36" s="113"/>
      <c r="CM36" s="113"/>
    </row>
    <row r="37" spans="1:91" s="112" customFormat="1" ht="15" customHeight="1">
      <c r="A37" s="103"/>
      <c r="B37" s="104"/>
      <c r="C37" s="105"/>
      <c r="D37" s="106"/>
      <c r="E37" s="107">
        <f t="shared" si="60"/>
      </c>
      <c r="F37" s="108">
        <f t="shared" si="8"/>
      </c>
      <c r="G37" s="109"/>
      <c r="H37" s="110"/>
      <c r="I37" s="486">
        <f t="shared" si="61"/>
        <v>0</v>
      </c>
      <c r="J37" s="486">
        <f t="shared" si="3"/>
        <v>0</v>
      </c>
      <c r="K37" s="486">
        <f t="shared" si="4"/>
        <v>0</v>
      </c>
      <c r="L37" s="111">
        <f t="shared" si="10"/>
        <v>0</v>
      </c>
      <c r="M37" s="176">
        <f t="shared" si="55"/>
        <v>0</v>
      </c>
      <c r="N37" s="177">
        <f t="shared" si="5"/>
        <v>0</v>
      </c>
      <c r="P37" s="306">
        <f t="shared" si="12"/>
        <v>0</v>
      </c>
      <c r="Q37" s="71">
        <f t="shared" si="13"/>
        <v>0</v>
      </c>
      <c r="R37" s="71">
        <f t="shared" si="14"/>
        <v>0</v>
      </c>
      <c r="S37" s="71">
        <f t="shared" si="15"/>
        <v>0</v>
      </c>
      <c r="T37" s="71">
        <f>IF(kontonr&gt;1499,IF(kontonr&lt;1560,$N37),0)+IF(kontonr&gt;(Kontoplan!P$3-1),IF(kontonr&lt;(Kontoplan!P$3+300),$N37,0),0)</f>
        <v>0</v>
      </c>
      <c r="U37" s="71">
        <f t="shared" si="16"/>
        <v>0</v>
      </c>
      <c r="V37" s="71">
        <f t="shared" si="17"/>
        <v>0</v>
      </c>
      <c r="W37" s="71">
        <f t="shared" si="18"/>
        <v>0</v>
      </c>
      <c r="X37" s="71">
        <f t="shared" si="19"/>
        <v>0</v>
      </c>
      <c r="Y37" s="71">
        <f t="shared" si="20"/>
        <v>0</v>
      </c>
      <c r="Z37" s="71">
        <f>IF(kontonr&gt;2399,IF(kontonr&lt;2500,$N37),0)+IF(kontonr&gt;(Kontoplan!$P$4-1),IF(kontonr&lt;(Kontoplan!$P$4+600),$N37,0),0)</f>
        <v>0</v>
      </c>
      <c r="AA37" s="71">
        <f t="shared" si="21"/>
        <v>0</v>
      </c>
      <c r="AB37" s="71">
        <f t="shared" si="22"/>
        <v>0</v>
      </c>
      <c r="AC37" s="71">
        <f t="shared" si="23"/>
        <v>0</v>
      </c>
      <c r="AD37" s="71">
        <f t="shared" si="24"/>
        <v>0</v>
      </c>
      <c r="AE37" s="71">
        <f t="shared" si="25"/>
        <v>0</v>
      </c>
      <c r="AF37" s="306">
        <f t="shared" si="26"/>
        <v>0</v>
      </c>
      <c r="AG37" s="74">
        <f t="shared" si="27"/>
        <v>0</v>
      </c>
      <c r="AH37" s="71">
        <f t="shared" si="28"/>
        <v>0</v>
      </c>
      <c r="AI37" s="71">
        <f t="shared" si="29"/>
        <v>0</v>
      </c>
      <c r="AJ37" s="71">
        <f t="shared" si="56"/>
        <v>0</v>
      </c>
      <c r="AK37" s="71">
        <f t="shared" si="31"/>
        <v>0</v>
      </c>
      <c r="AL37" s="71">
        <f t="shared" si="32"/>
        <v>0</v>
      </c>
      <c r="AM37" s="71">
        <f t="shared" si="57"/>
        <v>0</v>
      </c>
      <c r="AN37" s="71">
        <f t="shared" si="58"/>
        <v>0</v>
      </c>
      <c r="AO37" s="71">
        <f t="shared" si="35"/>
        <v>0</v>
      </c>
      <c r="AP37" s="71">
        <f t="shared" si="36"/>
        <v>0</v>
      </c>
      <c r="AQ37" s="71">
        <f t="shared" si="37"/>
        <v>0</v>
      </c>
      <c r="AR37" s="71">
        <f t="shared" si="38"/>
        <v>0</v>
      </c>
      <c r="AS37" s="71">
        <f t="shared" si="39"/>
        <v>0</v>
      </c>
      <c r="AT37" s="71">
        <f t="shared" si="40"/>
        <v>0</v>
      </c>
      <c r="AU37" s="306">
        <f t="shared" si="41"/>
        <v>0</v>
      </c>
      <c r="AV37" s="71">
        <f t="shared" si="42"/>
        <v>0</v>
      </c>
      <c r="AW37" s="71">
        <f t="shared" si="43"/>
        <v>0</v>
      </c>
      <c r="AX37" s="71">
        <f t="shared" si="44"/>
        <v>0</v>
      </c>
      <c r="AY37" s="113">
        <f t="shared" si="59"/>
        <v>0</v>
      </c>
      <c r="AZ37" s="113">
        <f t="shared" si="46"/>
        <v>0</v>
      </c>
      <c r="BA37" s="113">
        <f aca="true" t="shared" si="62" ref="BA37:BN37">IF(kontonr=BA$5,$N37,0)</f>
        <v>0</v>
      </c>
      <c r="BB37" s="113">
        <f t="shared" si="62"/>
        <v>0</v>
      </c>
      <c r="BC37" s="113">
        <f t="shared" si="62"/>
        <v>0</v>
      </c>
      <c r="BD37" s="113">
        <f t="shared" si="62"/>
        <v>0</v>
      </c>
      <c r="BE37" s="113">
        <f t="shared" si="62"/>
        <v>0</v>
      </c>
      <c r="BF37" s="113">
        <f t="shared" si="62"/>
        <v>0</v>
      </c>
      <c r="BG37" s="113">
        <f t="shared" si="62"/>
        <v>0</v>
      </c>
      <c r="BH37" s="113">
        <f t="shared" si="62"/>
        <v>0</v>
      </c>
      <c r="BI37" s="113">
        <f t="shared" si="62"/>
        <v>0</v>
      </c>
      <c r="BJ37" s="113">
        <f t="shared" si="62"/>
        <v>0</v>
      </c>
      <c r="BK37" s="113">
        <f t="shared" si="62"/>
        <v>0</v>
      </c>
      <c r="BL37" s="113">
        <f t="shared" si="62"/>
        <v>0</v>
      </c>
      <c r="BM37" s="113">
        <f t="shared" si="62"/>
        <v>0</v>
      </c>
      <c r="BN37" s="113">
        <f t="shared" si="62"/>
        <v>0</v>
      </c>
      <c r="BO37" s="113">
        <f aca="true" t="shared" si="63" ref="BA37:BP63">IF(kontonr=BO$5,$N37,0)</f>
        <v>0</v>
      </c>
      <c r="BP37" s="113">
        <f t="shared" si="63"/>
        <v>0</v>
      </c>
      <c r="BQ37" s="113">
        <f t="shared" si="54"/>
        <v>0</v>
      </c>
      <c r="BR37" s="113">
        <f t="shared" si="54"/>
        <v>0</v>
      </c>
      <c r="BS37" s="113">
        <f t="shared" si="47"/>
        <v>0</v>
      </c>
      <c r="BT37" s="113">
        <f t="shared" si="48"/>
        <v>0</v>
      </c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08">
        <f t="shared" si="49"/>
      </c>
      <c r="CJ37" s="113"/>
      <c r="CK37" s="113"/>
      <c r="CL37" s="113"/>
      <c r="CM37" s="113"/>
    </row>
    <row r="38" spans="1:91" s="112" customFormat="1" ht="15" customHeight="1">
      <c r="A38" s="103"/>
      <c r="B38" s="104"/>
      <c r="C38" s="105"/>
      <c r="D38" s="106"/>
      <c r="E38" s="107">
        <f t="shared" si="60"/>
      </c>
      <c r="F38" s="108">
        <f t="shared" si="8"/>
      </c>
      <c r="G38" s="109"/>
      <c r="H38" s="110"/>
      <c r="I38" s="486">
        <f t="shared" si="61"/>
        <v>0</v>
      </c>
      <c r="J38" s="486">
        <f t="shared" si="3"/>
        <v>0</v>
      </c>
      <c r="K38" s="486">
        <f t="shared" si="4"/>
        <v>0</v>
      </c>
      <c r="L38" s="111">
        <f t="shared" si="10"/>
        <v>0</v>
      </c>
      <c r="M38" s="176">
        <f t="shared" si="55"/>
        <v>0</v>
      </c>
      <c r="N38" s="177">
        <f aca="true" t="shared" si="64" ref="N38:N69">IF(kontonr&lt;3000,nettobeløp,0)+SUM(K38:L38)+IF(kontonr&gt;=10000,nettobeløp,0)</f>
        <v>0</v>
      </c>
      <c r="P38" s="306">
        <f t="shared" si="12"/>
        <v>0</v>
      </c>
      <c r="Q38" s="71">
        <f t="shared" si="13"/>
        <v>0</v>
      </c>
      <c r="R38" s="71">
        <f t="shared" si="14"/>
        <v>0</v>
      </c>
      <c r="S38" s="71">
        <f t="shared" si="15"/>
        <v>0</v>
      </c>
      <c r="T38" s="71">
        <f>IF(kontonr&gt;1499,IF(kontonr&lt;1560,$N38),0)+IF(kontonr&gt;(Kontoplan!P$3-1),IF(kontonr&lt;(Kontoplan!P$3+300),$N38,0),0)</f>
        <v>0</v>
      </c>
      <c r="U38" s="71">
        <f t="shared" si="16"/>
        <v>0</v>
      </c>
      <c r="V38" s="71">
        <f t="shared" si="17"/>
        <v>0</v>
      </c>
      <c r="W38" s="71">
        <f t="shared" si="18"/>
        <v>0</v>
      </c>
      <c r="X38" s="71">
        <f t="shared" si="19"/>
        <v>0</v>
      </c>
      <c r="Y38" s="71">
        <f t="shared" si="20"/>
        <v>0</v>
      </c>
      <c r="Z38" s="71">
        <f>IF(kontonr&gt;2399,IF(kontonr&lt;2500,$N38),0)+IF(kontonr&gt;(Kontoplan!$P$4-1),IF(kontonr&lt;(Kontoplan!$P$4+600),$N38,0),0)</f>
        <v>0</v>
      </c>
      <c r="AA38" s="71">
        <f t="shared" si="21"/>
        <v>0</v>
      </c>
      <c r="AB38" s="71">
        <f t="shared" si="22"/>
        <v>0</v>
      </c>
      <c r="AC38" s="71">
        <f t="shared" si="23"/>
        <v>0</v>
      </c>
      <c r="AD38" s="71">
        <f t="shared" si="24"/>
        <v>0</v>
      </c>
      <c r="AE38" s="71">
        <f t="shared" si="25"/>
        <v>0</v>
      </c>
      <c r="AF38" s="306">
        <f t="shared" si="26"/>
        <v>0</v>
      </c>
      <c r="AG38" s="74">
        <f t="shared" si="27"/>
        <v>0</v>
      </c>
      <c r="AH38" s="71">
        <f t="shared" si="28"/>
        <v>0</v>
      </c>
      <c r="AI38" s="71">
        <f t="shared" si="29"/>
        <v>0</v>
      </c>
      <c r="AJ38" s="71">
        <f t="shared" si="56"/>
        <v>0</v>
      </c>
      <c r="AK38" s="71">
        <f t="shared" si="31"/>
        <v>0</v>
      </c>
      <c r="AL38" s="71">
        <f t="shared" si="32"/>
        <v>0</v>
      </c>
      <c r="AM38" s="71">
        <f t="shared" si="57"/>
        <v>0</v>
      </c>
      <c r="AN38" s="71">
        <f t="shared" si="58"/>
        <v>0</v>
      </c>
      <c r="AO38" s="71">
        <f t="shared" si="35"/>
        <v>0</v>
      </c>
      <c r="AP38" s="71">
        <f t="shared" si="36"/>
        <v>0</v>
      </c>
      <c r="AQ38" s="71">
        <f t="shared" si="37"/>
        <v>0</v>
      </c>
      <c r="AR38" s="71">
        <f t="shared" si="38"/>
        <v>0</v>
      </c>
      <c r="AS38" s="71">
        <f t="shared" si="39"/>
        <v>0</v>
      </c>
      <c r="AT38" s="71">
        <f t="shared" si="40"/>
        <v>0</v>
      </c>
      <c r="AU38" s="306">
        <f t="shared" si="41"/>
        <v>0</v>
      </c>
      <c r="AV38" s="71">
        <f t="shared" si="42"/>
        <v>0</v>
      </c>
      <c r="AW38" s="71">
        <f t="shared" si="43"/>
        <v>0</v>
      </c>
      <c r="AX38" s="71">
        <f t="shared" si="44"/>
        <v>0</v>
      </c>
      <c r="AY38" s="113">
        <f t="shared" si="59"/>
        <v>0</v>
      </c>
      <c r="AZ38" s="113">
        <f t="shared" si="46"/>
        <v>0</v>
      </c>
      <c r="BA38" s="113">
        <f t="shared" si="63"/>
        <v>0</v>
      </c>
      <c r="BB38" s="113">
        <f t="shared" si="63"/>
        <v>0</v>
      </c>
      <c r="BC38" s="113">
        <f t="shared" si="63"/>
        <v>0</v>
      </c>
      <c r="BD38" s="113">
        <f t="shared" si="63"/>
        <v>0</v>
      </c>
      <c r="BE38" s="113">
        <f t="shared" si="63"/>
        <v>0</v>
      </c>
      <c r="BF38" s="113">
        <f t="shared" si="63"/>
        <v>0</v>
      </c>
      <c r="BG38" s="113">
        <f t="shared" si="63"/>
        <v>0</v>
      </c>
      <c r="BH38" s="113">
        <f t="shared" si="63"/>
        <v>0</v>
      </c>
      <c r="BI38" s="113">
        <f t="shared" si="63"/>
        <v>0</v>
      </c>
      <c r="BJ38" s="113">
        <f t="shared" si="63"/>
        <v>0</v>
      </c>
      <c r="BK38" s="113">
        <f t="shared" si="63"/>
        <v>0</v>
      </c>
      <c r="BL38" s="113">
        <f t="shared" si="63"/>
        <v>0</v>
      </c>
      <c r="BM38" s="113">
        <f t="shared" si="63"/>
        <v>0</v>
      </c>
      <c r="BN38" s="113">
        <f t="shared" si="63"/>
        <v>0</v>
      </c>
      <c r="BO38" s="113">
        <f t="shared" si="63"/>
        <v>0</v>
      </c>
      <c r="BP38" s="113">
        <f t="shared" si="63"/>
        <v>0</v>
      </c>
      <c r="BQ38" s="113">
        <f t="shared" si="54"/>
        <v>0</v>
      </c>
      <c r="BR38" s="113">
        <f t="shared" si="54"/>
        <v>0</v>
      </c>
      <c r="BS38" s="113">
        <f t="shared" si="47"/>
        <v>0</v>
      </c>
      <c r="BT38" s="113">
        <f t="shared" si="48"/>
        <v>0</v>
      </c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08">
        <f t="shared" si="49"/>
      </c>
      <c r="CJ38" s="113"/>
      <c r="CK38" s="113"/>
      <c r="CL38" s="113"/>
      <c r="CM38" s="113"/>
    </row>
    <row r="39" spans="1:91" s="112" customFormat="1" ht="15" customHeight="1">
      <c r="A39" s="103"/>
      <c r="B39" s="104"/>
      <c r="C39" s="105"/>
      <c r="D39" s="106"/>
      <c r="E39" s="107">
        <f t="shared" si="60"/>
      </c>
      <c r="F39" s="108">
        <f t="shared" si="8"/>
      </c>
      <c r="G39" s="109"/>
      <c r="H39" s="110"/>
      <c r="I39" s="486">
        <f t="shared" si="61"/>
        <v>0</v>
      </c>
      <c r="J39" s="486">
        <f t="shared" si="3"/>
        <v>0</v>
      </c>
      <c r="K39" s="486">
        <f t="shared" si="4"/>
        <v>0</v>
      </c>
      <c r="L39" s="111">
        <f t="shared" si="10"/>
        <v>0</v>
      </c>
      <c r="M39" s="176">
        <f t="shared" si="55"/>
        <v>0</v>
      </c>
      <c r="N39" s="177">
        <f t="shared" si="64"/>
        <v>0</v>
      </c>
      <c r="P39" s="306">
        <f t="shared" si="12"/>
        <v>0</v>
      </c>
      <c r="Q39" s="71">
        <f t="shared" si="13"/>
        <v>0</v>
      </c>
      <c r="R39" s="71">
        <f t="shared" si="14"/>
        <v>0</v>
      </c>
      <c r="S39" s="71">
        <f t="shared" si="15"/>
        <v>0</v>
      </c>
      <c r="T39" s="71">
        <f>IF(kontonr&gt;1499,IF(kontonr&lt;1560,$N39),0)+IF(kontonr&gt;(Kontoplan!P$3-1),IF(kontonr&lt;(Kontoplan!P$3+300),$N39,0),0)</f>
        <v>0</v>
      </c>
      <c r="U39" s="71">
        <f t="shared" si="16"/>
        <v>0</v>
      </c>
      <c r="V39" s="71">
        <f t="shared" si="17"/>
        <v>0</v>
      </c>
      <c r="W39" s="71">
        <f t="shared" si="18"/>
        <v>0</v>
      </c>
      <c r="X39" s="71">
        <f t="shared" si="19"/>
        <v>0</v>
      </c>
      <c r="Y39" s="71">
        <f t="shared" si="20"/>
        <v>0</v>
      </c>
      <c r="Z39" s="71">
        <f>IF(kontonr&gt;2399,IF(kontonr&lt;2500,$N39),0)+IF(kontonr&gt;(Kontoplan!$P$4-1),IF(kontonr&lt;(Kontoplan!$P$4+600),$N39,0),0)</f>
        <v>0</v>
      </c>
      <c r="AA39" s="71">
        <f t="shared" si="21"/>
        <v>0</v>
      </c>
      <c r="AB39" s="71">
        <f t="shared" si="22"/>
        <v>0</v>
      </c>
      <c r="AC39" s="71">
        <f t="shared" si="23"/>
        <v>0</v>
      </c>
      <c r="AD39" s="71">
        <f t="shared" si="24"/>
        <v>0</v>
      </c>
      <c r="AE39" s="71">
        <f t="shared" si="25"/>
        <v>0</v>
      </c>
      <c r="AF39" s="306">
        <f t="shared" si="26"/>
        <v>0</v>
      </c>
      <c r="AG39" s="74">
        <f t="shared" si="27"/>
        <v>0</v>
      </c>
      <c r="AH39" s="71">
        <f t="shared" si="28"/>
        <v>0</v>
      </c>
      <c r="AI39" s="71">
        <f t="shared" si="29"/>
        <v>0</v>
      </c>
      <c r="AJ39" s="71">
        <f t="shared" si="56"/>
        <v>0</v>
      </c>
      <c r="AK39" s="71">
        <f t="shared" si="31"/>
        <v>0</v>
      </c>
      <c r="AL39" s="71">
        <f t="shared" si="32"/>
        <v>0</v>
      </c>
      <c r="AM39" s="71">
        <f t="shared" si="57"/>
        <v>0</v>
      </c>
      <c r="AN39" s="71">
        <f t="shared" si="58"/>
        <v>0</v>
      </c>
      <c r="AO39" s="71">
        <f t="shared" si="35"/>
        <v>0</v>
      </c>
      <c r="AP39" s="71">
        <f t="shared" si="36"/>
        <v>0</v>
      </c>
      <c r="AQ39" s="71">
        <f t="shared" si="37"/>
        <v>0</v>
      </c>
      <c r="AR39" s="71">
        <f t="shared" si="38"/>
        <v>0</v>
      </c>
      <c r="AS39" s="71">
        <f t="shared" si="39"/>
        <v>0</v>
      </c>
      <c r="AT39" s="71">
        <f t="shared" si="40"/>
        <v>0</v>
      </c>
      <c r="AU39" s="306">
        <f t="shared" si="41"/>
        <v>0</v>
      </c>
      <c r="AV39" s="71">
        <f t="shared" si="42"/>
        <v>0</v>
      </c>
      <c r="AW39" s="71">
        <f t="shared" si="43"/>
        <v>0</v>
      </c>
      <c r="AX39" s="71">
        <f t="shared" si="44"/>
        <v>0</v>
      </c>
      <c r="AY39" s="113">
        <f t="shared" si="59"/>
        <v>0</v>
      </c>
      <c r="AZ39" s="113">
        <f aca="true" t="shared" si="65" ref="AZ39:AZ70">IF(kontonr=AZ$5,$N39,0)</f>
        <v>0</v>
      </c>
      <c r="BA39" s="113">
        <f t="shared" si="63"/>
        <v>0</v>
      </c>
      <c r="BB39" s="113">
        <f t="shared" si="63"/>
        <v>0</v>
      </c>
      <c r="BC39" s="113">
        <f t="shared" si="63"/>
        <v>0</v>
      </c>
      <c r="BD39" s="113">
        <f t="shared" si="63"/>
        <v>0</v>
      </c>
      <c r="BE39" s="113">
        <f t="shared" si="63"/>
        <v>0</v>
      </c>
      <c r="BF39" s="113">
        <f t="shared" si="63"/>
        <v>0</v>
      </c>
      <c r="BG39" s="113">
        <f t="shared" si="63"/>
        <v>0</v>
      </c>
      <c r="BH39" s="113">
        <f t="shared" si="63"/>
        <v>0</v>
      </c>
      <c r="BI39" s="113">
        <f t="shared" si="63"/>
        <v>0</v>
      </c>
      <c r="BJ39" s="113">
        <f t="shared" si="63"/>
        <v>0</v>
      </c>
      <c r="BK39" s="113">
        <f t="shared" si="63"/>
        <v>0</v>
      </c>
      <c r="BL39" s="113">
        <f t="shared" si="63"/>
        <v>0</v>
      </c>
      <c r="BM39" s="113">
        <f t="shared" si="63"/>
        <v>0</v>
      </c>
      <c r="BN39" s="113">
        <f t="shared" si="63"/>
        <v>0</v>
      </c>
      <c r="BO39" s="113">
        <f t="shared" si="63"/>
        <v>0</v>
      </c>
      <c r="BP39" s="113">
        <f t="shared" si="63"/>
        <v>0</v>
      </c>
      <c r="BQ39" s="113">
        <f t="shared" si="54"/>
        <v>0</v>
      </c>
      <c r="BR39" s="113">
        <f t="shared" si="54"/>
        <v>0</v>
      </c>
      <c r="BS39" s="113">
        <f t="shared" si="47"/>
        <v>0</v>
      </c>
      <c r="BT39" s="113">
        <f t="shared" si="48"/>
        <v>0</v>
      </c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08">
        <f t="shared" si="49"/>
      </c>
      <c r="CJ39" s="113"/>
      <c r="CK39" s="113"/>
      <c r="CL39" s="113"/>
      <c r="CM39" s="113"/>
    </row>
    <row r="40" spans="1:91" s="112" customFormat="1" ht="15" customHeight="1">
      <c r="A40" s="103"/>
      <c r="B40" s="104"/>
      <c r="C40" s="105"/>
      <c r="D40" s="106"/>
      <c r="E40" s="107">
        <f t="shared" si="60"/>
      </c>
      <c r="F40" s="108">
        <f t="shared" si="8"/>
      </c>
      <c r="G40" s="109"/>
      <c r="H40" s="110"/>
      <c r="I40" s="486">
        <f t="shared" si="61"/>
        <v>0</v>
      </c>
      <c r="J40" s="486">
        <f t="shared" si="3"/>
        <v>0</v>
      </c>
      <c r="K40" s="486">
        <f t="shared" si="4"/>
        <v>0</v>
      </c>
      <c r="L40" s="111">
        <f t="shared" si="10"/>
        <v>0</v>
      </c>
      <c r="M40" s="176">
        <f t="shared" si="55"/>
        <v>0</v>
      </c>
      <c r="N40" s="177">
        <f t="shared" si="64"/>
        <v>0</v>
      </c>
      <c r="P40" s="306">
        <f t="shared" si="12"/>
        <v>0</v>
      </c>
      <c r="Q40" s="71">
        <f t="shared" si="13"/>
        <v>0</v>
      </c>
      <c r="R40" s="71">
        <f t="shared" si="14"/>
        <v>0</v>
      </c>
      <c r="S40" s="71">
        <f t="shared" si="15"/>
        <v>0</v>
      </c>
      <c r="T40" s="71">
        <f>IF(kontonr&gt;1499,IF(kontonr&lt;1560,$N40),0)+IF(kontonr&gt;(Kontoplan!P$3-1),IF(kontonr&lt;(Kontoplan!P$3+300),$N40,0),0)</f>
        <v>0</v>
      </c>
      <c r="U40" s="71">
        <f t="shared" si="16"/>
        <v>0</v>
      </c>
      <c r="V40" s="71">
        <f t="shared" si="17"/>
        <v>0</v>
      </c>
      <c r="W40" s="71">
        <f t="shared" si="18"/>
        <v>0</v>
      </c>
      <c r="X40" s="71">
        <f t="shared" si="19"/>
        <v>0</v>
      </c>
      <c r="Y40" s="71">
        <f t="shared" si="20"/>
        <v>0</v>
      </c>
      <c r="Z40" s="71">
        <f>IF(kontonr&gt;2399,IF(kontonr&lt;2500,$N40),0)+IF(kontonr&gt;(Kontoplan!$P$4-1),IF(kontonr&lt;(Kontoplan!$P$4+600),$N40,0),0)</f>
        <v>0</v>
      </c>
      <c r="AA40" s="71">
        <f t="shared" si="21"/>
        <v>0</v>
      </c>
      <c r="AB40" s="71">
        <f t="shared" si="22"/>
        <v>0</v>
      </c>
      <c r="AC40" s="71">
        <f t="shared" si="23"/>
        <v>0</v>
      </c>
      <c r="AD40" s="71">
        <f t="shared" si="24"/>
        <v>0</v>
      </c>
      <c r="AE40" s="71">
        <f t="shared" si="25"/>
        <v>0</v>
      </c>
      <c r="AF40" s="306">
        <f t="shared" si="26"/>
        <v>0</v>
      </c>
      <c r="AG40" s="74">
        <f t="shared" si="27"/>
        <v>0</v>
      </c>
      <c r="AH40" s="71">
        <f t="shared" si="28"/>
        <v>0</v>
      </c>
      <c r="AI40" s="71">
        <f t="shared" si="29"/>
        <v>0</v>
      </c>
      <c r="AJ40" s="71">
        <f t="shared" si="56"/>
        <v>0</v>
      </c>
      <c r="AK40" s="71">
        <f t="shared" si="31"/>
        <v>0</v>
      </c>
      <c r="AL40" s="71">
        <f t="shared" si="32"/>
        <v>0</v>
      </c>
      <c r="AM40" s="71">
        <f t="shared" si="57"/>
        <v>0</v>
      </c>
      <c r="AN40" s="71">
        <f t="shared" si="58"/>
        <v>0</v>
      </c>
      <c r="AO40" s="71">
        <f t="shared" si="35"/>
        <v>0</v>
      </c>
      <c r="AP40" s="71">
        <f t="shared" si="36"/>
        <v>0</v>
      </c>
      <c r="AQ40" s="71">
        <f t="shared" si="37"/>
        <v>0</v>
      </c>
      <c r="AR40" s="71">
        <f t="shared" si="38"/>
        <v>0</v>
      </c>
      <c r="AS40" s="71">
        <f t="shared" si="39"/>
        <v>0</v>
      </c>
      <c r="AT40" s="71">
        <f t="shared" si="40"/>
        <v>0</v>
      </c>
      <c r="AU40" s="306">
        <f t="shared" si="41"/>
        <v>0</v>
      </c>
      <c r="AV40" s="71">
        <f t="shared" si="42"/>
        <v>0</v>
      </c>
      <c r="AW40" s="71">
        <f t="shared" si="43"/>
        <v>0</v>
      </c>
      <c r="AX40" s="71">
        <f t="shared" si="44"/>
        <v>0</v>
      </c>
      <c r="AY40" s="113">
        <f t="shared" si="59"/>
        <v>0</v>
      </c>
      <c r="AZ40" s="113">
        <f t="shared" si="65"/>
        <v>0</v>
      </c>
      <c r="BA40" s="113">
        <f aca="true" t="shared" si="66" ref="BA40:BO40">IF(kontonr=BA$5,$N40,0)</f>
        <v>0</v>
      </c>
      <c r="BB40" s="113">
        <f t="shared" si="66"/>
        <v>0</v>
      </c>
      <c r="BC40" s="113">
        <f t="shared" si="66"/>
        <v>0</v>
      </c>
      <c r="BD40" s="113">
        <f t="shared" si="66"/>
        <v>0</v>
      </c>
      <c r="BE40" s="113">
        <f t="shared" si="66"/>
        <v>0</v>
      </c>
      <c r="BF40" s="113">
        <f t="shared" si="66"/>
        <v>0</v>
      </c>
      <c r="BG40" s="113">
        <f t="shared" si="66"/>
        <v>0</v>
      </c>
      <c r="BH40" s="113">
        <f t="shared" si="66"/>
        <v>0</v>
      </c>
      <c r="BI40" s="113">
        <f t="shared" si="66"/>
        <v>0</v>
      </c>
      <c r="BJ40" s="113">
        <f t="shared" si="66"/>
        <v>0</v>
      </c>
      <c r="BK40" s="113">
        <f t="shared" si="66"/>
        <v>0</v>
      </c>
      <c r="BL40" s="113">
        <f t="shared" si="66"/>
        <v>0</v>
      </c>
      <c r="BM40" s="113">
        <f t="shared" si="66"/>
        <v>0</v>
      </c>
      <c r="BN40" s="113">
        <f t="shared" si="66"/>
        <v>0</v>
      </c>
      <c r="BO40" s="113">
        <f t="shared" si="66"/>
        <v>0</v>
      </c>
      <c r="BP40" s="113">
        <f aca="true" t="shared" si="67" ref="BA40:BP50">IF(kontonr=BP$5,$N40,0)</f>
        <v>0</v>
      </c>
      <c r="BQ40" s="113">
        <f t="shared" si="54"/>
        <v>0</v>
      </c>
      <c r="BR40" s="113">
        <f t="shared" si="54"/>
        <v>0</v>
      </c>
      <c r="BS40" s="113">
        <f t="shared" si="47"/>
        <v>0</v>
      </c>
      <c r="BT40" s="113">
        <f t="shared" si="48"/>
        <v>0</v>
      </c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08">
        <f t="shared" si="49"/>
      </c>
      <c r="CJ40" s="113"/>
      <c r="CK40" s="113"/>
      <c r="CL40" s="113"/>
      <c r="CM40" s="113"/>
    </row>
    <row r="41" spans="1:91" s="112" customFormat="1" ht="15" customHeight="1">
      <c r="A41" s="103"/>
      <c r="B41" s="104"/>
      <c r="C41" s="105"/>
      <c r="D41" s="106"/>
      <c r="E41" s="107">
        <f t="shared" si="60"/>
      </c>
      <c r="F41" s="108">
        <f t="shared" si="8"/>
      </c>
      <c r="G41" s="109"/>
      <c r="H41" s="110"/>
      <c r="I41" s="486">
        <f t="shared" si="61"/>
        <v>0</v>
      </c>
      <c r="J41" s="486">
        <f t="shared" si="3"/>
        <v>0</v>
      </c>
      <c r="K41" s="486">
        <f t="shared" si="4"/>
        <v>0</v>
      </c>
      <c r="L41" s="111">
        <f t="shared" si="10"/>
        <v>0</v>
      </c>
      <c r="M41" s="176">
        <f t="shared" si="55"/>
        <v>0</v>
      </c>
      <c r="N41" s="177">
        <f t="shared" si="64"/>
        <v>0</v>
      </c>
      <c r="P41" s="306">
        <f t="shared" si="12"/>
        <v>0</v>
      </c>
      <c r="Q41" s="71">
        <f t="shared" si="13"/>
        <v>0</v>
      </c>
      <c r="R41" s="71">
        <f t="shared" si="14"/>
        <v>0</v>
      </c>
      <c r="S41" s="71">
        <f t="shared" si="15"/>
        <v>0</v>
      </c>
      <c r="T41" s="71">
        <f>IF(kontonr&gt;1499,IF(kontonr&lt;1560,$N41),0)+IF(kontonr&gt;(Kontoplan!P$3-1),IF(kontonr&lt;(Kontoplan!P$3+300),$N41,0),0)</f>
        <v>0</v>
      </c>
      <c r="U41" s="71">
        <f t="shared" si="16"/>
        <v>0</v>
      </c>
      <c r="V41" s="71">
        <f t="shared" si="17"/>
        <v>0</v>
      </c>
      <c r="W41" s="71">
        <f t="shared" si="18"/>
        <v>0</v>
      </c>
      <c r="X41" s="71">
        <f t="shared" si="19"/>
        <v>0</v>
      </c>
      <c r="Y41" s="71">
        <f t="shared" si="20"/>
        <v>0</v>
      </c>
      <c r="Z41" s="71">
        <f>IF(kontonr&gt;2399,IF(kontonr&lt;2500,$N41),0)+IF(kontonr&gt;(Kontoplan!$P$4-1),IF(kontonr&lt;(Kontoplan!$P$4+600),$N41,0),0)</f>
        <v>0</v>
      </c>
      <c r="AA41" s="71">
        <f t="shared" si="21"/>
        <v>0</v>
      </c>
      <c r="AB41" s="71">
        <f t="shared" si="22"/>
        <v>0</v>
      </c>
      <c r="AC41" s="71">
        <f t="shared" si="23"/>
        <v>0</v>
      </c>
      <c r="AD41" s="71">
        <f t="shared" si="24"/>
        <v>0</v>
      </c>
      <c r="AE41" s="71">
        <f t="shared" si="25"/>
        <v>0</v>
      </c>
      <c r="AF41" s="306">
        <f t="shared" si="26"/>
        <v>0</v>
      </c>
      <c r="AG41" s="74">
        <f t="shared" si="27"/>
        <v>0</v>
      </c>
      <c r="AH41" s="71">
        <f t="shared" si="28"/>
        <v>0</v>
      </c>
      <c r="AI41" s="71">
        <f t="shared" si="29"/>
        <v>0</v>
      </c>
      <c r="AJ41" s="71">
        <f t="shared" si="56"/>
        <v>0</v>
      </c>
      <c r="AK41" s="71">
        <f t="shared" si="31"/>
        <v>0</v>
      </c>
      <c r="AL41" s="71">
        <f t="shared" si="32"/>
        <v>0</v>
      </c>
      <c r="AM41" s="71">
        <f t="shared" si="57"/>
        <v>0</v>
      </c>
      <c r="AN41" s="71">
        <f t="shared" si="58"/>
        <v>0</v>
      </c>
      <c r="AO41" s="71">
        <f t="shared" si="35"/>
        <v>0</v>
      </c>
      <c r="AP41" s="71">
        <f t="shared" si="36"/>
        <v>0</v>
      </c>
      <c r="AQ41" s="71">
        <f t="shared" si="37"/>
        <v>0</v>
      </c>
      <c r="AR41" s="71">
        <f t="shared" si="38"/>
        <v>0</v>
      </c>
      <c r="AS41" s="71">
        <f t="shared" si="39"/>
        <v>0</v>
      </c>
      <c r="AT41" s="71">
        <f t="shared" si="40"/>
        <v>0</v>
      </c>
      <c r="AU41" s="306">
        <f t="shared" si="41"/>
        <v>0</v>
      </c>
      <c r="AV41" s="71">
        <f t="shared" si="42"/>
        <v>0</v>
      </c>
      <c r="AW41" s="71">
        <f t="shared" si="43"/>
        <v>0</v>
      </c>
      <c r="AX41" s="71">
        <f t="shared" si="44"/>
        <v>0</v>
      </c>
      <c r="AY41" s="113">
        <f t="shared" si="59"/>
        <v>0</v>
      </c>
      <c r="AZ41" s="113">
        <f t="shared" si="65"/>
        <v>0</v>
      </c>
      <c r="BA41" s="113">
        <f t="shared" si="67"/>
        <v>0</v>
      </c>
      <c r="BB41" s="113">
        <f t="shared" si="67"/>
        <v>0</v>
      </c>
      <c r="BC41" s="113">
        <f t="shared" si="67"/>
        <v>0</v>
      </c>
      <c r="BD41" s="113">
        <f t="shared" si="67"/>
        <v>0</v>
      </c>
      <c r="BE41" s="113">
        <f t="shared" si="67"/>
        <v>0</v>
      </c>
      <c r="BF41" s="113">
        <f t="shared" si="67"/>
        <v>0</v>
      </c>
      <c r="BG41" s="113">
        <f t="shared" si="67"/>
        <v>0</v>
      </c>
      <c r="BH41" s="113">
        <f t="shared" si="67"/>
        <v>0</v>
      </c>
      <c r="BI41" s="113">
        <f t="shared" si="67"/>
        <v>0</v>
      </c>
      <c r="BJ41" s="113">
        <f t="shared" si="67"/>
        <v>0</v>
      </c>
      <c r="BK41" s="113">
        <f t="shared" si="67"/>
        <v>0</v>
      </c>
      <c r="BL41" s="113">
        <f t="shared" si="67"/>
        <v>0</v>
      </c>
      <c r="BM41" s="113">
        <f t="shared" si="67"/>
        <v>0</v>
      </c>
      <c r="BN41" s="113">
        <f t="shared" si="67"/>
        <v>0</v>
      </c>
      <c r="BO41" s="113">
        <f t="shared" si="67"/>
        <v>0</v>
      </c>
      <c r="BP41" s="113">
        <f t="shared" si="67"/>
        <v>0</v>
      </c>
      <c r="BQ41" s="113">
        <f t="shared" si="54"/>
        <v>0</v>
      </c>
      <c r="BR41" s="113">
        <f t="shared" si="54"/>
        <v>0</v>
      </c>
      <c r="BS41" s="113">
        <f t="shared" si="47"/>
        <v>0</v>
      </c>
      <c r="BT41" s="113">
        <f t="shared" si="48"/>
        <v>0</v>
      </c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08">
        <f t="shared" si="49"/>
      </c>
      <c r="CJ41" s="113"/>
      <c r="CK41" s="113"/>
      <c r="CL41" s="113"/>
      <c r="CM41" s="113"/>
    </row>
    <row r="42" spans="1:91" s="112" customFormat="1" ht="15" customHeight="1">
      <c r="A42" s="103"/>
      <c r="B42" s="104"/>
      <c r="C42" s="105"/>
      <c r="D42" s="106"/>
      <c r="E42" s="107">
        <f t="shared" si="60"/>
      </c>
      <c r="F42" s="108">
        <f t="shared" si="8"/>
      </c>
      <c r="G42" s="109"/>
      <c r="H42" s="110"/>
      <c r="I42" s="486">
        <f t="shared" si="61"/>
        <v>0</v>
      </c>
      <c r="J42" s="486">
        <f t="shared" si="3"/>
        <v>0</v>
      </c>
      <c r="K42" s="486">
        <f t="shared" si="4"/>
        <v>0</v>
      </c>
      <c r="L42" s="111">
        <f t="shared" si="10"/>
        <v>0</v>
      </c>
      <c r="M42" s="176">
        <f t="shared" si="55"/>
        <v>0</v>
      </c>
      <c r="N42" s="177">
        <f t="shared" si="64"/>
        <v>0</v>
      </c>
      <c r="P42" s="306">
        <f t="shared" si="12"/>
        <v>0</v>
      </c>
      <c r="Q42" s="71">
        <f t="shared" si="13"/>
        <v>0</v>
      </c>
      <c r="R42" s="71">
        <f t="shared" si="14"/>
        <v>0</v>
      </c>
      <c r="S42" s="71">
        <f t="shared" si="15"/>
        <v>0</v>
      </c>
      <c r="T42" s="71">
        <f>IF(kontonr&gt;1499,IF(kontonr&lt;1560,$N42),0)+IF(kontonr&gt;(Kontoplan!P$3-1),IF(kontonr&lt;(Kontoplan!P$3+300),$N42,0),0)</f>
        <v>0</v>
      </c>
      <c r="U42" s="71">
        <f t="shared" si="16"/>
        <v>0</v>
      </c>
      <c r="V42" s="71">
        <f t="shared" si="17"/>
        <v>0</v>
      </c>
      <c r="W42" s="71">
        <f t="shared" si="18"/>
        <v>0</v>
      </c>
      <c r="X42" s="71">
        <f t="shared" si="19"/>
        <v>0</v>
      </c>
      <c r="Y42" s="71">
        <f t="shared" si="20"/>
        <v>0</v>
      </c>
      <c r="Z42" s="71">
        <f>IF(kontonr&gt;2399,IF(kontonr&lt;2500,$N42),0)+IF(kontonr&gt;(Kontoplan!$P$4-1),IF(kontonr&lt;(Kontoplan!$P$4+600),$N42,0),0)</f>
        <v>0</v>
      </c>
      <c r="AA42" s="71">
        <f t="shared" si="21"/>
        <v>0</v>
      </c>
      <c r="AB42" s="71">
        <f t="shared" si="22"/>
        <v>0</v>
      </c>
      <c r="AC42" s="71">
        <f t="shared" si="23"/>
        <v>0</v>
      </c>
      <c r="AD42" s="71">
        <f t="shared" si="24"/>
        <v>0</v>
      </c>
      <c r="AE42" s="71">
        <f t="shared" si="25"/>
        <v>0</v>
      </c>
      <c r="AF42" s="306">
        <f t="shared" si="26"/>
        <v>0</v>
      </c>
      <c r="AG42" s="74">
        <f t="shared" si="27"/>
        <v>0</v>
      </c>
      <c r="AH42" s="71">
        <f t="shared" si="28"/>
        <v>0</v>
      </c>
      <c r="AI42" s="71">
        <f t="shared" si="29"/>
        <v>0</v>
      </c>
      <c r="AJ42" s="71">
        <f t="shared" si="56"/>
        <v>0</v>
      </c>
      <c r="AK42" s="71">
        <f t="shared" si="31"/>
        <v>0</v>
      </c>
      <c r="AL42" s="71">
        <f t="shared" si="32"/>
        <v>0</v>
      </c>
      <c r="AM42" s="71">
        <f t="shared" si="57"/>
        <v>0</v>
      </c>
      <c r="AN42" s="71">
        <f t="shared" si="58"/>
        <v>0</v>
      </c>
      <c r="AO42" s="71">
        <f t="shared" si="35"/>
        <v>0</v>
      </c>
      <c r="AP42" s="71">
        <f t="shared" si="36"/>
        <v>0</v>
      </c>
      <c r="AQ42" s="71">
        <f t="shared" si="37"/>
        <v>0</v>
      </c>
      <c r="AR42" s="71">
        <f t="shared" si="38"/>
        <v>0</v>
      </c>
      <c r="AS42" s="71">
        <f t="shared" si="39"/>
        <v>0</v>
      </c>
      <c r="AT42" s="71">
        <f t="shared" si="40"/>
        <v>0</v>
      </c>
      <c r="AU42" s="306">
        <f t="shared" si="41"/>
        <v>0</v>
      </c>
      <c r="AV42" s="71">
        <f t="shared" si="42"/>
        <v>0</v>
      </c>
      <c r="AW42" s="71">
        <f t="shared" si="43"/>
        <v>0</v>
      </c>
      <c r="AX42" s="71">
        <f t="shared" si="44"/>
        <v>0</v>
      </c>
      <c r="AY42" s="113">
        <f t="shared" si="59"/>
        <v>0</v>
      </c>
      <c r="AZ42" s="113">
        <f t="shared" si="65"/>
        <v>0</v>
      </c>
      <c r="BA42" s="113">
        <f t="shared" si="67"/>
        <v>0</v>
      </c>
      <c r="BB42" s="113">
        <f t="shared" si="67"/>
        <v>0</v>
      </c>
      <c r="BC42" s="113">
        <f t="shared" si="67"/>
        <v>0</v>
      </c>
      <c r="BD42" s="113">
        <f t="shared" si="67"/>
        <v>0</v>
      </c>
      <c r="BE42" s="113">
        <f t="shared" si="67"/>
        <v>0</v>
      </c>
      <c r="BF42" s="113">
        <f t="shared" si="67"/>
        <v>0</v>
      </c>
      <c r="BG42" s="113">
        <f t="shared" si="67"/>
        <v>0</v>
      </c>
      <c r="BH42" s="113">
        <f t="shared" si="67"/>
        <v>0</v>
      </c>
      <c r="BI42" s="113">
        <f t="shared" si="67"/>
        <v>0</v>
      </c>
      <c r="BJ42" s="113">
        <f t="shared" si="67"/>
        <v>0</v>
      </c>
      <c r="BK42" s="113">
        <f t="shared" si="67"/>
        <v>0</v>
      </c>
      <c r="BL42" s="113">
        <f t="shared" si="67"/>
        <v>0</v>
      </c>
      <c r="BM42" s="113">
        <f t="shared" si="67"/>
        <v>0</v>
      </c>
      <c r="BN42" s="113">
        <f t="shared" si="67"/>
        <v>0</v>
      </c>
      <c r="BO42" s="113">
        <f t="shared" si="67"/>
        <v>0</v>
      </c>
      <c r="BP42" s="113">
        <f t="shared" si="67"/>
        <v>0</v>
      </c>
      <c r="BQ42" s="113">
        <f t="shared" si="54"/>
        <v>0</v>
      </c>
      <c r="BR42" s="113">
        <f t="shared" si="54"/>
        <v>0</v>
      </c>
      <c r="BS42" s="113">
        <f t="shared" si="47"/>
        <v>0</v>
      </c>
      <c r="BT42" s="113">
        <f t="shared" si="48"/>
        <v>0</v>
      </c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08">
        <f t="shared" si="49"/>
      </c>
      <c r="CJ42" s="113"/>
      <c r="CK42" s="113"/>
      <c r="CL42" s="113"/>
      <c r="CM42" s="113"/>
    </row>
    <row r="43" spans="1:91" s="112" customFormat="1" ht="15" customHeight="1">
      <c r="A43" s="103"/>
      <c r="B43" s="104"/>
      <c r="C43" s="105"/>
      <c r="D43" s="106"/>
      <c r="E43" s="107">
        <f t="shared" si="60"/>
      </c>
      <c r="F43" s="108">
        <f t="shared" si="8"/>
      </c>
      <c r="G43" s="109"/>
      <c r="H43" s="110"/>
      <c r="I43" s="486">
        <f t="shared" si="61"/>
        <v>0</v>
      </c>
      <c r="J43" s="486">
        <f t="shared" si="3"/>
        <v>0</v>
      </c>
      <c r="K43" s="486">
        <f t="shared" si="4"/>
        <v>0</v>
      </c>
      <c r="L43" s="111">
        <f t="shared" si="10"/>
        <v>0</v>
      </c>
      <c r="M43" s="176">
        <f t="shared" si="55"/>
        <v>0</v>
      </c>
      <c r="N43" s="177">
        <f t="shared" si="64"/>
        <v>0</v>
      </c>
      <c r="P43" s="306">
        <f t="shared" si="12"/>
        <v>0</v>
      </c>
      <c r="Q43" s="71">
        <f t="shared" si="13"/>
        <v>0</v>
      </c>
      <c r="R43" s="71">
        <f t="shared" si="14"/>
        <v>0</v>
      </c>
      <c r="S43" s="71">
        <f t="shared" si="15"/>
        <v>0</v>
      </c>
      <c r="T43" s="71">
        <f>IF(kontonr&gt;1499,IF(kontonr&lt;1560,$N43),0)+IF(kontonr&gt;(Kontoplan!P$3-1),IF(kontonr&lt;(Kontoplan!P$3+300),$N43,0),0)</f>
        <v>0</v>
      </c>
      <c r="U43" s="71">
        <f t="shared" si="16"/>
        <v>0</v>
      </c>
      <c r="V43" s="71">
        <f t="shared" si="17"/>
        <v>0</v>
      </c>
      <c r="W43" s="71">
        <f t="shared" si="18"/>
        <v>0</v>
      </c>
      <c r="X43" s="71">
        <f t="shared" si="19"/>
        <v>0</v>
      </c>
      <c r="Y43" s="71">
        <f t="shared" si="20"/>
        <v>0</v>
      </c>
      <c r="Z43" s="71">
        <f>IF(kontonr&gt;2399,IF(kontonr&lt;2500,$N43),0)+IF(kontonr&gt;(Kontoplan!$P$4-1),IF(kontonr&lt;(Kontoplan!$P$4+600),$N43,0),0)</f>
        <v>0</v>
      </c>
      <c r="AA43" s="71">
        <f t="shared" si="21"/>
        <v>0</v>
      </c>
      <c r="AB43" s="71">
        <f t="shared" si="22"/>
        <v>0</v>
      </c>
      <c r="AC43" s="71">
        <f t="shared" si="23"/>
        <v>0</v>
      </c>
      <c r="AD43" s="71">
        <f t="shared" si="24"/>
        <v>0</v>
      </c>
      <c r="AE43" s="71">
        <f t="shared" si="25"/>
        <v>0</v>
      </c>
      <c r="AF43" s="306">
        <f t="shared" si="26"/>
        <v>0</v>
      </c>
      <c r="AG43" s="74">
        <f t="shared" si="27"/>
        <v>0</v>
      </c>
      <c r="AH43" s="71">
        <f t="shared" si="28"/>
        <v>0</v>
      </c>
      <c r="AI43" s="71">
        <f t="shared" si="29"/>
        <v>0</v>
      </c>
      <c r="AJ43" s="71">
        <f t="shared" si="56"/>
        <v>0</v>
      </c>
      <c r="AK43" s="71">
        <f t="shared" si="31"/>
        <v>0</v>
      </c>
      <c r="AL43" s="71">
        <f t="shared" si="32"/>
        <v>0</v>
      </c>
      <c r="AM43" s="71">
        <f t="shared" si="57"/>
        <v>0</v>
      </c>
      <c r="AN43" s="71">
        <f t="shared" si="58"/>
        <v>0</v>
      </c>
      <c r="AO43" s="71">
        <f t="shared" si="35"/>
        <v>0</v>
      </c>
      <c r="AP43" s="71">
        <f t="shared" si="36"/>
        <v>0</v>
      </c>
      <c r="AQ43" s="71">
        <f t="shared" si="37"/>
        <v>0</v>
      </c>
      <c r="AR43" s="71">
        <f t="shared" si="38"/>
        <v>0</v>
      </c>
      <c r="AS43" s="71">
        <f t="shared" si="39"/>
        <v>0</v>
      </c>
      <c r="AT43" s="71">
        <f t="shared" si="40"/>
        <v>0</v>
      </c>
      <c r="AU43" s="306">
        <f t="shared" si="41"/>
        <v>0</v>
      </c>
      <c r="AV43" s="71">
        <f t="shared" si="42"/>
        <v>0</v>
      </c>
      <c r="AW43" s="71">
        <f t="shared" si="43"/>
        <v>0</v>
      </c>
      <c r="AX43" s="71">
        <f t="shared" si="44"/>
        <v>0</v>
      </c>
      <c r="AY43" s="113">
        <f t="shared" si="59"/>
        <v>0</v>
      </c>
      <c r="AZ43" s="113">
        <f t="shared" si="65"/>
        <v>0</v>
      </c>
      <c r="BA43" s="113">
        <f t="shared" si="67"/>
        <v>0</v>
      </c>
      <c r="BB43" s="113">
        <f t="shared" si="67"/>
        <v>0</v>
      </c>
      <c r="BC43" s="113">
        <f t="shared" si="67"/>
        <v>0</v>
      </c>
      <c r="BD43" s="113">
        <f t="shared" si="67"/>
        <v>0</v>
      </c>
      <c r="BE43" s="113">
        <f t="shared" si="67"/>
        <v>0</v>
      </c>
      <c r="BF43" s="113">
        <f t="shared" si="67"/>
        <v>0</v>
      </c>
      <c r="BG43" s="113">
        <f t="shared" si="67"/>
        <v>0</v>
      </c>
      <c r="BH43" s="113">
        <f t="shared" si="67"/>
        <v>0</v>
      </c>
      <c r="BI43" s="113">
        <f t="shared" si="67"/>
        <v>0</v>
      </c>
      <c r="BJ43" s="113">
        <f t="shared" si="67"/>
        <v>0</v>
      </c>
      <c r="BK43" s="113">
        <f t="shared" si="67"/>
        <v>0</v>
      </c>
      <c r="BL43" s="113">
        <f t="shared" si="67"/>
        <v>0</v>
      </c>
      <c r="BM43" s="113">
        <f t="shared" si="67"/>
        <v>0</v>
      </c>
      <c r="BN43" s="113">
        <f t="shared" si="67"/>
        <v>0</v>
      </c>
      <c r="BO43" s="113">
        <f t="shared" si="67"/>
        <v>0</v>
      </c>
      <c r="BP43" s="113">
        <f t="shared" si="67"/>
        <v>0</v>
      </c>
      <c r="BQ43" s="113">
        <f t="shared" si="54"/>
        <v>0</v>
      </c>
      <c r="BR43" s="113">
        <f t="shared" si="54"/>
        <v>0</v>
      </c>
      <c r="BS43" s="113">
        <f t="shared" si="47"/>
        <v>0</v>
      </c>
      <c r="BT43" s="113">
        <f t="shared" si="48"/>
        <v>0</v>
      </c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08">
        <f t="shared" si="49"/>
      </c>
      <c r="CJ43" s="113"/>
      <c r="CK43" s="113"/>
      <c r="CL43" s="113"/>
      <c r="CM43" s="113"/>
    </row>
    <row r="44" spans="1:91" s="112" customFormat="1" ht="15" customHeight="1">
      <c r="A44" s="103"/>
      <c r="B44" s="104"/>
      <c r="C44" s="105"/>
      <c r="D44" s="106"/>
      <c r="E44" s="107">
        <f t="shared" si="60"/>
      </c>
      <c r="F44" s="108">
        <f t="shared" si="8"/>
      </c>
      <c r="G44" s="109"/>
      <c r="H44" s="110"/>
      <c r="I44" s="486">
        <f t="shared" si="61"/>
        <v>0</v>
      </c>
      <c r="J44" s="486">
        <f t="shared" si="3"/>
        <v>0</v>
      </c>
      <c r="K44" s="486">
        <f t="shared" si="4"/>
        <v>0</v>
      </c>
      <c r="L44" s="111">
        <f t="shared" si="10"/>
        <v>0</v>
      </c>
      <c r="M44" s="176">
        <f t="shared" si="55"/>
        <v>0</v>
      </c>
      <c r="N44" s="177">
        <f t="shared" si="64"/>
        <v>0</v>
      </c>
      <c r="P44" s="306">
        <f t="shared" si="12"/>
        <v>0</v>
      </c>
      <c r="Q44" s="71">
        <f t="shared" si="13"/>
        <v>0</v>
      </c>
      <c r="R44" s="71">
        <f t="shared" si="14"/>
        <v>0</v>
      </c>
      <c r="S44" s="71">
        <f t="shared" si="15"/>
        <v>0</v>
      </c>
      <c r="T44" s="71">
        <f>IF(kontonr&gt;1499,IF(kontonr&lt;1560,$N44),0)+IF(kontonr&gt;(Kontoplan!P$3-1),IF(kontonr&lt;(Kontoplan!P$3+300),$N44,0),0)</f>
        <v>0</v>
      </c>
      <c r="U44" s="71">
        <f t="shared" si="16"/>
        <v>0</v>
      </c>
      <c r="V44" s="71">
        <f t="shared" si="17"/>
        <v>0</v>
      </c>
      <c r="W44" s="71">
        <f t="shared" si="18"/>
        <v>0</v>
      </c>
      <c r="X44" s="71">
        <f t="shared" si="19"/>
        <v>0</v>
      </c>
      <c r="Y44" s="71">
        <f t="shared" si="20"/>
        <v>0</v>
      </c>
      <c r="Z44" s="71">
        <f>IF(kontonr&gt;2399,IF(kontonr&lt;2500,$N44),0)+IF(kontonr&gt;(Kontoplan!$P$4-1),IF(kontonr&lt;(Kontoplan!$P$4+600),$N44,0),0)</f>
        <v>0</v>
      </c>
      <c r="AA44" s="71">
        <f t="shared" si="21"/>
        <v>0</v>
      </c>
      <c r="AB44" s="71">
        <f t="shared" si="22"/>
        <v>0</v>
      </c>
      <c r="AC44" s="71">
        <f t="shared" si="23"/>
        <v>0</v>
      </c>
      <c r="AD44" s="71">
        <f t="shared" si="24"/>
        <v>0</v>
      </c>
      <c r="AE44" s="71">
        <f t="shared" si="25"/>
        <v>0</v>
      </c>
      <c r="AF44" s="306">
        <f t="shared" si="26"/>
        <v>0</v>
      </c>
      <c r="AG44" s="74">
        <f t="shared" si="27"/>
        <v>0</v>
      </c>
      <c r="AH44" s="71">
        <f t="shared" si="28"/>
        <v>0</v>
      </c>
      <c r="AI44" s="71">
        <f t="shared" si="29"/>
        <v>0</v>
      </c>
      <c r="AJ44" s="71">
        <f t="shared" si="56"/>
        <v>0</v>
      </c>
      <c r="AK44" s="71">
        <f t="shared" si="31"/>
        <v>0</v>
      </c>
      <c r="AL44" s="71">
        <f t="shared" si="32"/>
        <v>0</v>
      </c>
      <c r="AM44" s="71">
        <f t="shared" si="57"/>
        <v>0</v>
      </c>
      <c r="AN44" s="71">
        <f t="shared" si="58"/>
        <v>0</v>
      </c>
      <c r="AO44" s="71">
        <f t="shared" si="35"/>
        <v>0</v>
      </c>
      <c r="AP44" s="71">
        <f t="shared" si="36"/>
        <v>0</v>
      </c>
      <c r="AQ44" s="71">
        <f t="shared" si="37"/>
        <v>0</v>
      </c>
      <c r="AR44" s="71">
        <f t="shared" si="38"/>
        <v>0</v>
      </c>
      <c r="AS44" s="71">
        <f t="shared" si="39"/>
        <v>0</v>
      </c>
      <c r="AT44" s="71">
        <f t="shared" si="40"/>
        <v>0</v>
      </c>
      <c r="AU44" s="306">
        <f t="shared" si="41"/>
        <v>0</v>
      </c>
      <c r="AV44" s="71">
        <f t="shared" si="42"/>
        <v>0</v>
      </c>
      <c r="AW44" s="71">
        <f t="shared" si="43"/>
        <v>0</v>
      </c>
      <c r="AX44" s="71">
        <f t="shared" si="44"/>
        <v>0</v>
      </c>
      <c r="AY44" s="113">
        <f t="shared" si="59"/>
        <v>0</v>
      </c>
      <c r="AZ44" s="113">
        <f t="shared" si="65"/>
        <v>0</v>
      </c>
      <c r="BA44" s="113">
        <f t="shared" si="67"/>
        <v>0</v>
      </c>
      <c r="BB44" s="113">
        <f t="shared" si="67"/>
        <v>0</v>
      </c>
      <c r="BC44" s="113">
        <f t="shared" si="67"/>
        <v>0</v>
      </c>
      <c r="BD44" s="113">
        <f t="shared" si="67"/>
        <v>0</v>
      </c>
      <c r="BE44" s="113">
        <f t="shared" si="67"/>
        <v>0</v>
      </c>
      <c r="BF44" s="113">
        <f t="shared" si="67"/>
        <v>0</v>
      </c>
      <c r="BG44" s="113">
        <f t="shared" si="67"/>
        <v>0</v>
      </c>
      <c r="BH44" s="113">
        <f t="shared" si="67"/>
        <v>0</v>
      </c>
      <c r="BI44" s="113">
        <f t="shared" si="67"/>
        <v>0</v>
      </c>
      <c r="BJ44" s="113">
        <f t="shared" si="67"/>
        <v>0</v>
      </c>
      <c r="BK44" s="113">
        <f t="shared" si="67"/>
        <v>0</v>
      </c>
      <c r="BL44" s="113">
        <f t="shared" si="67"/>
        <v>0</v>
      </c>
      <c r="BM44" s="113">
        <f t="shared" si="67"/>
        <v>0</v>
      </c>
      <c r="BN44" s="113">
        <f t="shared" si="67"/>
        <v>0</v>
      </c>
      <c r="BO44" s="113">
        <f t="shared" si="67"/>
        <v>0</v>
      </c>
      <c r="BP44" s="113">
        <f t="shared" si="67"/>
        <v>0</v>
      </c>
      <c r="BQ44" s="113">
        <f t="shared" si="54"/>
        <v>0</v>
      </c>
      <c r="BR44" s="113">
        <f t="shared" si="54"/>
        <v>0</v>
      </c>
      <c r="BS44" s="113">
        <f t="shared" si="47"/>
        <v>0</v>
      </c>
      <c r="BT44" s="113">
        <f t="shared" si="48"/>
        <v>0</v>
      </c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08">
        <f t="shared" si="49"/>
      </c>
      <c r="CJ44" s="113"/>
      <c r="CK44" s="113"/>
      <c r="CL44" s="113"/>
      <c r="CM44" s="113"/>
    </row>
    <row r="45" spans="1:91" s="112" customFormat="1" ht="15" customHeight="1">
      <c r="A45" s="103"/>
      <c r="B45" s="104"/>
      <c r="C45" s="105"/>
      <c r="D45" s="106"/>
      <c r="E45" s="107">
        <f t="shared" si="60"/>
      </c>
      <c r="F45" s="108">
        <f t="shared" si="8"/>
      </c>
      <c r="G45" s="109"/>
      <c r="H45" s="110"/>
      <c r="I45" s="486">
        <f t="shared" si="61"/>
        <v>0</v>
      </c>
      <c r="J45" s="486">
        <f t="shared" si="3"/>
        <v>0</v>
      </c>
      <c r="K45" s="486">
        <f t="shared" si="4"/>
        <v>0</v>
      </c>
      <c r="L45" s="111">
        <f t="shared" si="10"/>
        <v>0</v>
      </c>
      <c r="M45" s="176">
        <f t="shared" si="55"/>
        <v>0</v>
      </c>
      <c r="N45" s="177">
        <f t="shared" si="64"/>
        <v>0</v>
      </c>
      <c r="P45" s="306">
        <f t="shared" si="12"/>
        <v>0</v>
      </c>
      <c r="Q45" s="71">
        <f t="shared" si="13"/>
        <v>0</v>
      </c>
      <c r="R45" s="71">
        <f t="shared" si="14"/>
        <v>0</v>
      </c>
      <c r="S45" s="71">
        <f t="shared" si="15"/>
        <v>0</v>
      </c>
      <c r="T45" s="71">
        <f>IF(kontonr&gt;1499,IF(kontonr&lt;1560,$N45),0)+IF(kontonr&gt;(Kontoplan!P$3-1),IF(kontonr&lt;(Kontoplan!P$3+300),$N45,0),0)</f>
        <v>0</v>
      </c>
      <c r="U45" s="71">
        <f t="shared" si="16"/>
        <v>0</v>
      </c>
      <c r="V45" s="71">
        <f t="shared" si="17"/>
        <v>0</v>
      </c>
      <c r="W45" s="71">
        <f t="shared" si="18"/>
        <v>0</v>
      </c>
      <c r="X45" s="71">
        <f t="shared" si="19"/>
        <v>0</v>
      </c>
      <c r="Y45" s="71">
        <f t="shared" si="20"/>
        <v>0</v>
      </c>
      <c r="Z45" s="71">
        <f>IF(kontonr&gt;2399,IF(kontonr&lt;2500,$N45),0)+IF(kontonr&gt;(Kontoplan!$P$4-1),IF(kontonr&lt;(Kontoplan!$P$4+600),$N45,0),0)</f>
        <v>0</v>
      </c>
      <c r="AA45" s="71">
        <f t="shared" si="21"/>
        <v>0</v>
      </c>
      <c r="AB45" s="71">
        <f t="shared" si="22"/>
        <v>0</v>
      </c>
      <c r="AC45" s="71">
        <f t="shared" si="23"/>
        <v>0</v>
      </c>
      <c r="AD45" s="71">
        <f t="shared" si="24"/>
        <v>0</v>
      </c>
      <c r="AE45" s="71">
        <f t="shared" si="25"/>
        <v>0</v>
      </c>
      <c r="AF45" s="306">
        <f t="shared" si="26"/>
        <v>0</v>
      </c>
      <c r="AG45" s="74">
        <f t="shared" si="27"/>
        <v>0</v>
      </c>
      <c r="AH45" s="71">
        <f t="shared" si="28"/>
        <v>0</v>
      </c>
      <c r="AI45" s="71">
        <f t="shared" si="29"/>
        <v>0</v>
      </c>
      <c r="AJ45" s="71">
        <f t="shared" si="56"/>
        <v>0</v>
      </c>
      <c r="AK45" s="71">
        <f t="shared" si="31"/>
        <v>0</v>
      </c>
      <c r="AL45" s="71">
        <f t="shared" si="32"/>
        <v>0</v>
      </c>
      <c r="AM45" s="71">
        <f t="shared" si="57"/>
        <v>0</v>
      </c>
      <c r="AN45" s="71">
        <f t="shared" si="58"/>
        <v>0</v>
      </c>
      <c r="AO45" s="71">
        <f t="shared" si="35"/>
        <v>0</v>
      </c>
      <c r="AP45" s="71">
        <f t="shared" si="36"/>
        <v>0</v>
      </c>
      <c r="AQ45" s="71">
        <f t="shared" si="37"/>
        <v>0</v>
      </c>
      <c r="AR45" s="71">
        <f t="shared" si="38"/>
        <v>0</v>
      </c>
      <c r="AS45" s="71">
        <f t="shared" si="39"/>
        <v>0</v>
      </c>
      <c r="AT45" s="71">
        <f t="shared" si="40"/>
        <v>0</v>
      </c>
      <c r="AU45" s="306">
        <f t="shared" si="41"/>
        <v>0</v>
      </c>
      <c r="AV45" s="71">
        <f t="shared" si="42"/>
        <v>0</v>
      </c>
      <c r="AW45" s="71">
        <f t="shared" si="43"/>
        <v>0</v>
      </c>
      <c r="AX45" s="71">
        <f t="shared" si="44"/>
        <v>0</v>
      </c>
      <c r="AY45" s="113">
        <f t="shared" si="59"/>
        <v>0</v>
      </c>
      <c r="AZ45" s="113">
        <f t="shared" si="65"/>
        <v>0</v>
      </c>
      <c r="BA45" s="113">
        <f t="shared" si="67"/>
        <v>0</v>
      </c>
      <c r="BB45" s="113">
        <f t="shared" si="67"/>
        <v>0</v>
      </c>
      <c r="BC45" s="113">
        <f t="shared" si="67"/>
        <v>0</v>
      </c>
      <c r="BD45" s="113">
        <f t="shared" si="67"/>
        <v>0</v>
      </c>
      <c r="BE45" s="113">
        <f t="shared" si="67"/>
        <v>0</v>
      </c>
      <c r="BF45" s="113">
        <f t="shared" si="67"/>
        <v>0</v>
      </c>
      <c r="BG45" s="113">
        <f t="shared" si="67"/>
        <v>0</v>
      </c>
      <c r="BH45" s="113">
        <f t="shared" si="67"/>
        <v>0</v>
      </c>
      <c r="BI45" s="113">
        <f t="shared" si="67"/>
        <v>0</v>
      </c>
      <c r="BJ45" s="113">
        <f t="shared" si="67"/>
        <v>0</v>
      </c>
      <c r="BK45" s="113">
        <f t="shared" si="67"/>
        <v>0</v>
      </c>
      <c r="BL45" s="113">
        <f t="shared" si="67"/>
        <v>0</v>
      </c>
      <c r="BM45" s="113">
        <f t="shared" si="67"/>
        <v>0</v>
      </c>
      <c r="BN45" s="113">
        <f t="shared" si="67"/>
        <v>0</v>
      </c>
      <c r="BO45" s="113">
        <f t="shared" si="67"/>
        <v>0</v>
      </c>
      <c r="BP45" s="113">
        <f t="shared" si="67"/>
        <v>0</v>
      </c>
      <c r="BQ45" s="113">
        <f t="shared" si="54"/>
        <v>0</v>
      </c>
      <c r="BR45" s="113">
        <f t="shared" si="54"/>
        <v>0</v>
      </c>
      <c r="BS45" s="113">
        <f t="shared" si="47"/>
        <v>0</v>
      </c>
      <c r="BT45" s="113">
        <f t="shared" si="48"/>
        <v>0</v>
      </c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08">
        <f t="shared" si="49"/>
      </c>
      <c r="CJ45" s="113"/>
      <c r="CK45" s="113"/>
      <c r="CL45" s="113"/>
      <c r="CM45" s="113"/>
    </row>
    <row r="46" spans="1:91" s="112" customFormat="1" ht="15" customHeight="1">
      <c r="A46" s="103"/>
      <c r="B46" s="104"/>
      <c r="C46" s="105"/>
      <c r="D46" s="106"/>
      <c r="E46" s="107">
        <f t="shared" si="60"/>
      </c>
      <c r="F46" s="108">
        <f t="shared" si="8"/>
      </c>
      <c r="G46" s="109"/>
      <c r="H46" s="110"/>
      <c r="I46" s="486">
        <f t="shared" si="61"/>
        <v>0</v>
      </c>
      <c r="J46" s="486">
        <f t="shared" si="3"/>
        <v>0</v>
      </c>
      <c r="K46" s="486">
        <f t="shared" si="4"/>
        <v>0</v>
      </c>
      <c r="L46" s="111">
        <f t="shared" si="10"/>
        <v>0</v>
      </c>
      <c r="M46" s="176">
        <f t="shared" si="55"/>
        <v>0</v>
      </c>
      <c r="N46" s="177">
        <f t="shared" si="64"/>
        <v>0</v>
      </c>
      <c r="P46" s="306">
        <f t="shared" si="12"/>
        <v>0</v>
      </c>
      <c r="Q46" s="71">
        <f t="shared" si="13"/>
        <v>0</v>
      </c>
      <c r="R46" s="71">
        <f t="shared" si="14"/>
        <v>0</v>
      </c>
      <c r="S46" s="71">
        <f t="shared" si="15"/>
        <v>0</v>
      </c>
      <c r="T46" s="71">
        <f>IF(kontonr&gt;1499,IF(kontonr&lt;1560,$N46),0)+IF(kontonr&gt;(Kontoplan!P$3-1),IF(kontonr&lt;(Kontoplan!P$3+300),$N46,0),0)</f>
        <v>0</v>
      </c>
      <c r="U46" s="71">
        <f t="shared" si="16"/>
        <v>0</v>
      </c>
      <c r="V46" s="71">
        <f t="shared" si="17"/>
        <v>0</v>
      </c>
      <c r="W46" s="71">
        <f t="shared" si="18"/>
        <v>0</v>
      </c>
      <c r="X46" s="71">
        <f t="shared" si="19"/>
        <v>0</v>
      </c>
      <c r="Y46" s="71">
        <f t="shared" si="20"/>
        <v>0</v>
      </c>
      <c r="Z46" s="71">
        <f>IF(kontonr&gt;2399,IF(kontonr&lt;2500,$N46),0)+IF(kontonr&gt;(Kontoplan!$P$4-1),IF(kontonr&lt;(Kontoplan!$P$4+600),$N46,0),0)</f>
        <v>0</v>
      </c>
      <c r="AA46" s="71">
        <f t="shared" si="21"/>
        <v>0</v>
      </c>
      <c r="AB46" s="71">
        <f t="shared" si="22"/>
        <v>0</v>
      </c>
      <c r="AC46" s="71">
        <f t="shared" si="23"/>
        <v>0</v>
      </c>
      <c r="AD46" s="71">
        <f t="shared" si="24"/>
        <v>0</v>
      </c>
      <c r="AE46" s="71">
        <f t="shared" si="25"/>
        <v>0</v>
      </c>
      <c r="AF46" s="306">
        <f t="shared" si="26"/>
        <v>0</v>
      </c>
      <c r="AG46" s="74">
        <f t="shared" si="27"/>
        <v>0</v>
      </c>
      <c r="AH46" s="71">
        <f t="shared" si="28"/>
        <v>0</v>
      </c>
      <c r="AI46" s="71">
        <f t="shared" si="29"/>
        <v>0</v>
      </c>
      <c r="AJ46" s="71">
        <f t="shared" si="56"/>
        <v>0</v>
      </c>
      <c r="AK46" s="71">
        <f t="shared" si="31"/>
        <v>0</v>
      </c>
      <c r="AL46" s="71">
        <f t="shared" si="32"/>
        <v>0</v>
      </c>
      <c r="AM46" s="71">
        <f t="shared" si="57"/>
        <v>0</v>
      </c>
      <c r="AN46" s="71">
        <f t="shared" si="58"/>
        <v>0</v>
      </c>
      <c r="AO46" s="71">
        <f t="shared" si="35"/>
        <v>0</v>
      </c>
      <c r="AP46" s="71">
        <f t="shared" si="36"/>
        <v>0</v>
      </c>
      <c r="AQ46" s="71">
        <f t="shared" si="37"/>
        <v>0</v>
      </c>
      <c r="AR46" s="71">
        <f t="shared" si="38"/>
        <v>0</v>
      </c>
      <c r="AS46" s="71">
        <f t="shared" si="39"/>
        <v>0</v>
      </c>
      <c r="AT46" s="71">
        <f t="shared" si="40"/>
        <v>0</v>
      </c>
      <c r="AU46" s="306">
        <f t="shared" si="41"/>
        <v>0</v>
      </c>
      <c r="AV46" s="71">
        <f t="shared" si="42"/>
        <v>0</v>
      </c>
      <c r="AW46" s="71">
        <f t="shared" si="43"/>
        <v>0</v>
      </c>
      <c r="AX46" s="71">
        <f t="shared" si="44"/>
        <v>0</v>
      </c>
      <c r="AY46" s="113">
        <f t="shared" si="59"/>
        <v>0</v>
      </c>
      <c r="AZ46" s="113">
        <f t="shared" si="65"/>
        <v>0</v>
      </c>
      <c r="BA46" s="113">
        <f t="shared" si="67"/>
        <v>0</v>
      </c>
      <c r="BB46" s="113">
        <f t="shared" si="67"/>
        <v>0</v>
      </c>
      <c r="BC46" s="113">
        <f t="shared" si="67"/>
        <v>0</v>
      </c>
      <c r="BD46" s="113">
        <f t="shared" si="67"/>
        <v>0</v>
      </c>
      <c r="BE46" s="113">
        <f t="shared" si="67"/>
        <v>0</v>
      </c>
      <c r="BF46" s="113">
        <f t="shared" si="67"/>
        <v>0</v>
      </c>
      <c r="BG46" s="113">
        <f t="shared" si="67"/>
        <v>0</v>
      </c>
      <c r="BH46" s="113">
        <f t="shared" si="67"/>
        <v>0</v>
      </c>
      <c r="BI46" s="113">
        <f t="shared" si="67"/>
        <v>0</v>
      </c>
      <c r="BJ46" s="113">
        <f t="shared" si="67"/>
        <v>0</v>
      </c>
      <c r="BK46" s="113">
        <f t="shared" si="67"/>
        <v>0</v>
      </c>
      <c r="BL46" s="113">
        <f t="shared" si="67"/>
        <v>0</v>
      </c>
      <c r="BM46" s="113">
        <f t="shared" si="67"/>
        <v>0</v>
      </c>
      <c r="BN46" s="113">
        <f t="shared" si="67"/>
        <v>0</v>
      </c>
      <c r="BO46" s="113">
        <f t="shared" si="67"/>
        <v>0</v>
      </c>
      <c r="BP46" s="113">
        <f t="shared" si="67"/>
        <v>0</v>
      </c>
      <c r="BQ46" s="113">
        <f t="shared" si="54"/>
        <v>0</v>
      </c>
      <c r="BR46" s="113">
        <f t="shared" si="54"/>
        <v>0</v>
      </c>
      <c r="BS46" s="113">
        <f t="shared" si="47"/>
        <v>0</v>
      </c>
      <c r="BT46" s="113">
        <f t="shared" si="48"/>
        <v>0</v>
      </c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08">
        <f t="shared" si="49"/>
      </c>
      <c r="CJ46" s="113"/>
      <c r="CK46" s="113"/>
      <c r="CL46" s="113"/>
      <c r="CM46" s="113"/>
    </row>
    <row r="47" spans="1:91" s="112" customFormat="1" ht="15" customHeight="1">
      <c r="A47" s="103"/>
      <c r="B47" s="104"/>
      <c r="C47" s="105"/>
      <c r="D47" s="106"/>
      <c r="E47" s="107">
        <f t="shared" si="60"/>
      </c>
      <c r="F47" s="108">
        <f t="shared" si="8"/>
      </c>
      <c r="G47" s="109"/>
      <c r="H47" s="110"/>
      <c r="I47" s="486">
        <f t="shared" si="61"/>
        <v>0</v>
      </c>
      <c r="J47" s="486">
        <f t="shared" si="3"/>
        <v>0</v>
      </c>
      <c r="K47" s="486">
        <f t="shared" si="4"/>
        <v>0</v>
      </c>
      <c r="L47" s="111">
        <f t="shared" si="10"/>
        <v>0</v>
      </c>
      <c r="M47" s="176">
        <f t="shared" si="55"/>
        <v>0</v>
      </c>
      <c r="N47" s="177">
        <f t="shared" si="64"/>
        <v>0</v>
      </c>
      <c r="P47" s="306">
        <f t="shared" si="12"/>
        <v>0</v>
      </c>
      <c r="Q47" s="71">
        <f t="shared" si="13"/>
        <v>0</v>
      </c>
      <c r="R47" s="71">
        <f t="shared" si="14"/>
        <v>0</v>
      </c>
      <c r="S47" s="71">
        <f t="shared" si="15"/>
        <v>0</v>
      </c>
      <c r="T47" s="71">
        <f>IF(kontonr&gt;1499,IF(kontonr&lt;1560,$N47),0)+IF(kontonr&gt;(Kontoplan!P$3-1),IF(kontonr&lt;(Kontoplan!P$3+300),$N47,0),0)</f>
        <v>0</v>
      </c>
      <c r="U47" s="71">
        <f t="shared" si="16"/>
        <v>0</v>
      </c>
      <c r="V47" s="71">
        <f t="shared" si="17"/>
        <v>0</v>
      </c>
      <c r="W47" s="71">
        <f t="shared" si="18"/>
        <v>0</v>
      </c>
      <c r="X47" s="71">
        <f t="shared" si="19"/>
        <v>0</v>
      </c>
      <c r="Y47" s="71">
        <f t="shared" si="20"/>
        <v>0</v>
      </c>
      <c r="Z47" s="71">
        <f>IF(kontonr&gt;2399,IF(kontonr&lt;2500,$N47),0)+IF(kontonr&gt;(Kontoplan!$P$4-1),IF(kontonr&lt;(Kontoplan!$P$4+600),$N47,0),0)</f>
        <v>0</v>
      </c>
      <c r="AA47" s="71">
        <f t="shared" si="21"/>
        <v>0</v>
      </c>
      <c r="AB47" s="71">
        <f t="shared" si="22"/>
        <v>0</v>
      </c>
      <c r="AC47" s="71">
        <f t="shared" si="23"/>
        <v>0</v>
      </c>
      <c r="AD47" s="71">
        <f t="shared" si="24"/>
        <v>0</v>
      </c>
      <c r="AE47" s="71">
        <f t="shared" si="25"/>
        <v>0</v>
      </c>
      <c r="AF47" s="306">
        <f t="shared" si="26"/>
        <v>0</v>
      </c>
      <c r="AG47" s="74">
        <f t="shared" si="27"/>
        <v>0</v>
      </c>
      <c r="AH47" s="71">
        <f t="shared" si="28"/>
        <v>0</v>
      </c>
      <c r="AI47" s="71">
        <f t="shared" si="29"/>
        <v>0</v>
      </c>
      <c r="AJ47" s="71">
        <f t="shared" si="56"/>
        <v>0</v>
      </c>
      <c r="AK47" s="71">
        <f t="shared" si="31"/>
        <v>0</v>
      </c>
      <c r="AL47" s="71">
        <f t="shared" si="32"/>
        <v>0</v>
      </c>
      <c r="AM47" s="71">
        <f t="shared" si="57"/>
        <v>0</v>
      </c>
      <c r="AN47" s="71">
        <f t="shared" si="58"/>
        <v>0</v>
      </c>
      <c r="AO47" s="71">
        <f t="shared" si="35"/>
        <v>0</v>
      </c>
      <c r="AP47" s="71">
        <f t="shared" si="36"/>
        <v>0</v>
      </c>
      <c r="AQ47" s="71">
        <f t="shared" si="37"/>
        <v>0</v>
      </c>
      <c r="AR47" s="71">
        <f t="shared" si="38"/>
        <v>0</v>
      </c>
      <c r="AS47" s="71">
        <f t="shared" si="39"/>
        <v>0</v>
      </c>
      <c r="AT47" s="71">
        <f t="shared" si="40"/>
        <v>0</v>
      </c>
      <c r="AU47" s="306">
        <f t="shared" si="41"/>
        <v>0</v>
      </c>
      <c r="AV47" s="71">
        <f t="shared" si="42"/>
        <v>0</v>
      </c>
      <c r="AW47" s="71">
        <f t="shared" si="43"/>
        <v>0</v>
      </c>
      <c r="AX47" s="71">
        <f t="shared" si="44"/>
        <v>0</v>
      </c>
      <c r="AY47" s="113">
        <f t="shared" si="59"/>
        <v>0</v>
      </c>
      <c r="AZ47" s="113">
        <f t="shared" si="65"/>
        <v>0</v>
      </c>
      <c r="BA47" s="113">
        <f t="shared" si="67"/>
        <v>0</v>
      </c>
      <c r="BB47" s="113">
        <f t="shared" si="67"/>
        <v>0</v>
      </c>
      <c r="BC47" s="113">
        <f t="shared" si="67"/>
        <v>0</v>
      </c>
      <c r="BD47" s="113">
        <f t="shared" si="67"/>
        <v>0</v>
      </c>
      <c r="BE47" s="113">
        <f t="shared" si="67"/>
        <v>0</v>
      </c>
      <c r="BF47" s="113">
        <f t="shared" si="67"/>
        <v>0</v>
      </c>
      <c r="BG47" s="113">
        <f t="shared" si="67"/>
        <v>0</v>
      </c>
      <c r="BH47" s="113">
        <f t="shared" si="67"/>
        <v>0</v>
      </c>
      <c r="BI47" s="113">
        <f t="shared" si="67"/>
        <v>0</v>
      </c>
      <c r="BJ47" s="113">
        <f t="shared" si="67"/>
        <v>0</v>
      </c>
      <c r="BK47" s="113">
        <f t="shared" si="67"/>
        <v>0</v>
      </c>
      <c r="BL47" s="113">
        <f t="shared" si="67"/>
        <v>0</v>
      </c>
      <c r="BM47" s="113">
        <f t="shared" si="67"/>
        <v>0</v>
      </c>
      <c r="BN47" s="113">
        <f t="shared" si="67"/>
        <v>0</v>
      </c>
      <c r="BO47" s="113">
        <f t="shared" si="67"/>
        <v>0</v>
      </c>
      <c r="BP47" s="113">
        <f t="shared" si="67"/>
        <v>0</v>
      </c>
      <c r="BQ47" s="113">
        <f t="shared" si="54"/>
        <v>0</v>
      </c>
      <c r="BR47" s="113">
        <f t="shared" si="54"/>
        <v>0</v>
      </c>
      <c r="BS47" s="113">
        <f t="shared" si="47"/>
        <v>0</v>
      </c>
      <c r="BT47" s="113">
        <f t="shared" si="48"/>
        <v>0</v>
      </c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08">
        <f t="shared" si="49"/>
      </c>
      <c r="CJ47" s="113"/>
      <c r="CK47" s="113"/>
      <c r="CL47" s="113"/>
      <c r="CM47" s="113"/>
    </row>
    <row r="48" spans="1:91" s="112" customFormat="1" ht="15" customHeight="1">
      <c r="A48" s="103"/>
      <c r="B48" s="104"/>
      <c r="C48" s="105"/>
      <c r="D48" s="106"/>
      <c r="E48" s="107">
        <f t="shared" si="60"/>
      </c>
      <c r="F48" s="108">
        <f t="shared" si="8"/>
      </c>
      <c r="G48" s="109"/>
      <c r="H48" s="110"/>
      <c r="I48" s="486">
        <f t="shared" si="61"/>
        <v>0</v>
      </c>
      <c r="J48" s="486">
        <f t="shared" si="3"/>
        <v>0</v>
      </c>
      <c r="K48" s="486">
        <f t="shared" si="4"/>
        <v>0</v>
      </c>
      <c r="L48" s="111">
        <f t="shared" si="10"/>
        <v>0</v>
      </c>
      <c r="M48" s="176">
        <f t="shared" si="55"/>
        <v>0</v>
      </c>
      <c r="N48" s="177">
        <f t="shared" si="64"/>
        <v>0</v>
      </c>
      <c r="P48" s="306">
        <f t="shared" si="12"/>
        <v>0</v>
      </c>
      <c r="Q48" s="71">
        <f t="shared" si="13"/>
        <v>0</v>
      </c>
      <c r="R48" s="71">
        <f t="shared" si="14"/>
        <v>0</v>
      </c>
      <c r="S48" s="71">
        <f t="shared" si="15"/>
        <v>0</v>
      </c>
      <c r="T48" s="71">
        <f>IF(kontonr&gt;1499,IF(kontonr&lt;1560,$N48),0)+IF(kontonr&gt;(Kontoplan!P$3-1),IF(kontonr&lt;(Kontoplan!P$3+300),$N48,0),0)</f>
        <v>0</v>
      </c>
      <c r="U48" s="71">
        <f t="shared" si="16"/>
        <v>0</v>
      </c>
      <c r="V48" s="71">
        <f t="shared" si="17"/>
        <v>0</v>
      </c>
      <c r="W48" s="71">
        <f t="shared" si="18"/>
        <v>0</v>
      </c>
      <c r="X48" s="71">
        <f t="shared" si="19"/>
        <v>0</v>
      </c>
      <c r="Y48" s="71">
        <f t="shared" si="20"/>
        <v>0</v>
      </c>
      <c r="Z48" s="71">
        <f>IF(kontonr&gt;2399,IF(kontonr&lt;2500,$N48),0)+IF(kontonr&gt;(Kontoplan!$P$4-1),IF(kontonr&lt;(Kontoplan!$P$4+600),$N48,0),0)</f>
        <v>0</v>
      </c>
      <c r="AA48" s="71">
        <f t="shared" si="21"/>
        <v>0</v>
      </c>
      <c r="AB48" s="71">
        <f t="shared" si="22"/>
        <v>0</v>
      </c>
      <c r="AC48" s="71">
        <f t="shared" si="23"/>
        <v>0</v>
      </c>
      <c r="AD48" s="71">
        <f t="shared" si="24"/>
        <v>0</v>
      </c>
      <c r="AE48" s="71">
        <f t="shared" si="25"/>
        <v>0</v>
      </c>
      <c r="AF48" s="306">
        <f t="shared" si="26"/>
        <v>0</v>
      </c>
      <c r="AG48" s="74">
        <f t="shared" si="27"/>
        <v>0</v>
      </c>
      <c r="AH48" s="71">
        <f t="shared" si="28"/>
        <v>0</v>
      </c>
      <c r="AI48" s="71">
        <f t="shared" si="29"/>
        <v>0</v>
      </c>
      <c r="AJ48" s="71">
        <f t="shared" si="56"/>
        <v>0</v>
      </c>
      <c r="AK48" s="71">
        <f t="shared" si="31"/>
        <v>0</v>
      </c>
      <c r="AL48" s="71">
        <f t="shared" si="32"/>
        <v>0</v>
      </c>
      <c r="AM48" s="71">
        <f t="shared" si="57"/>
        <v>0</v>
      </c>
      <c r="AN48" s="71">
        <f t="shared" si="58"/>
        <v>0</v>
      </c>
      <c r="AO48" s="71">
        <f t="shared" si="35"/>
        <v>0</v>
      </c>
      <c r="AP48" s="71">
        <f t="shared" si="36"/>
        <v>0</v>
      </c>
      <c r="AQ48" s="71">
        <f t="shared" si="37"/>
        <v>0</v>
      </c>
      <c r="AR48" s="71">
        <f t="shared" si="38"/>
        <v>0</v>
      </c>
      <c r="AS48" s="71">
        <f t="shared" si="39"/>
        <v>0</v>
      </c>
      <c r="AT48" s="71">
        <f t="shared" si="40"/>
        <v>0</v>
      </c>
      <c r="AU48" s="306">
        <f t="shared" si="41"/>
        <v>0</v>
      </c>
      <c r="AV48" s="71">
        <f t="shared" si="42"/>
        <v>0</v>
      </c>
      <c r="AW48" s="71">
        <f t="shared" si="43"/>
        <v>0</v>
      </c>
      <c r="AX48" s="71">
        <f t="shared" si="44"/>
        <v>0</v>
      </c>
      <c r="AY48" s="113">
        <f t="shared" si="59"/>
        <v>0</v>
      </c>
      <c r="AZ48" s="113">
        <f t="shared" si="65"/>
        <v>0</v>
      </c>
      <c r="BA48" s="113">
        <f t="shared" si="67"/>
        <v>0</v>
      </c>
      <c r="BB48" s="113">
        <f t="shared" si="67"/>
        <v>0</v>
      </c>
      <c r="BC48" s="113">
        <f t="shared" si="67"/>
        <v>0</v>
      </c>
      <c r="BD48" s="113">
        <f t="shared" si="67"/>
        <v>0</v>
      </c>
      <c r="BE48" s="113">
        <f t="shared" si="67"/>
        <v>0</v>
      </c>
      <c r="BF48" s="113">
        <f t="shared" si="67"/>
        <v>0</v>
      </c>
      <c r="BG48" s="113">
        <f t="shared" si="67"/>
        <v>0</v>
      </c>
      <c r="BH48" s="113">
        <f t="shared" si="67"/>
        <v>0</v>
      </c>
      <c r="BI48" s="113">
        <f t="shared" si="67"/>
        <v>0</v>
      </c>
      <c r="BJ48" s="113">
        <f t="shared" si="67"/>
        <v>0</v>
      </c>
      <c r="BK48" s="113">
        <f t="shared" si="67"/>
        <v>0</v>
      </c>
      <c r="BL48" s="113">
        <f t="shared" si="67"/>
        <v>0</v>
      </c>
      <c r="BM48" s="113">
        <f t="shared" si="67"/>
        <v>0</v>
      </c>
      <c r="BN48" s="113">
        <f t="shared" si="67"/>
        <v>0</v>
      </c>
      <c r="BO48" s="113">
        <f t="shared" si="67"/>
        <v>0</v>
      </c>
      <c r="BP48" s="113">
        <f t="shared" si="67"/>
        <v>0</v>
      </c>
      <c r="BQ48" s="113">
        <f t="shared" si="54"/>
        <v>0</v>
      </c>
      <c r="BR48" s="113">
        <f t="shared" si="54"/>
        <v>0</v>
      </c>
      <c r="BS48" s="113">
        <f t="shared" si="47"/>
        <v>0</v>
      </c>
      <c r="BT48" s="113">
        <f t="shared" si="48"/>
        <v>0</v>
      </c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08">
        <f t="shared" si="49"/>
      </c>
      <c r="CJ48" s="113"/>
      <c r="CK48" s="113"/>
      <c r="CL48" s="113"/>
      <c r="CM48" s="113"/>
    </row>
    <row r="49" spans="1:91" s="112" customFormat="1" ht="15" customHeight="1">
      <c r="A49" s="103"/>
      <c r="B49" s="104"/>
      <c r="C49" s="105"/>
      <c r="D49" s="106"/>
      <c r="E49" s="107">
        <f t="shared" si="60"/>
      </c>
      <c r="F49" s="108">
        <f t="shared" si="8"/>
      </c>
      <c r="G49" s="109"/>
      <c r="H49" s="110"/>
      <c r="I49" s="486">
        <f t="shared" si="61"/>
        <v>0</v>
      </c>
      <c r="J49" s="486">
        <f t="shared" si="3"/>
        <v>0</v>
      </c>
      <c r="K49" s="486">
        <f t="shared" si="4"/>
        <v>0</v>
      </c>
      <c r="L49" s="111">
        <f t="shared" si="10"/>
        <v>0</v>
      </c>
      <c r="M49" s="176">
        <f t="shared" si="55"/>
        <v>0</v>
      </c>
      <c r="N49" s="177">
        <f t="shared" si="64"/>
        <v>0</v>
      </c>
      <c r="P49" s="306">
        <f t="shared" si="12"/>
        <v>0</v>
      </c>
      <c r="Q49" s="71">
        <f t="shared" si="13"/>
        <v>0</v>
      </c>
      <c r="R49" s="71">
        <f t="shared" si="14"/>
        <v>0</v>
      </c>
      <c r="S49" s="71">
        <f t="shared" si="15"/>
        <v>0</v>
      </c>
      <c r="T49" s="71">
        <f>IF(kontonr&gt;1499,IF(kontonr&lt;1560,$N49),0)+IF(kontonr&gt;(Kontoplan!P$3-1),IF(kontonr&lt;(Kontoplan!P$3+300),$N49,0),0)</f>
        <v>0</v>
      </c>
      <c r="U49" s="71">
        <f t="shared" si="16"/>
        <v>0</v>
      </c>
      <c r="V49" s="71">
        <f t="shared" si="17"/>
        <v>0</v>
      </c>
      <c r="W49" s="71">
        <f t="shared" si="18"/>
        <v>0</v>
      </c>
      <c r="X49" s="71">
        <f t="shared" si="19"/>
        <v>0</v>
      </c>
      <c r="Y49" s="71">
        <f t="shared" si="20"/>
        <v>0</v>
      </c>
      <c r="Z49" s="71">
        <f>IF(kontonr&gt;2399,IF(kontonr&lt;2500,$N49),0)+IF(kontonr&gt;(Kontoplan!$P$4-1),IF(kontonr&lt;(Kontoplan!$P$4+600),$N49,0),0)</f>
        <v>0</v>
      </c>
      <c r="AA49" s="71">
        <f t="shared" si="21"/>
        <v>0</v>
      </c>
      <c r="AB49" s="71">
        <f t="shared" si="22"/>
        <v>0</v>
      </c>
      <c r="AC49" s="71">
        <f t="shared" si="23"/>
        <v>0</v>
      </c>
      <c r="AD49" s="71">
        <f t="shared" si="24"/>
        <v>0</v>
      </c>
      <c r="AE49" s="71">
        <f t="shared" si="25"/>
        <v>0</v>
      </c>
      <c r="AF49" s="306">
        <f t="shared" si="26"/>
        <v>0</v>
      </c>
      <c r="AG49" s="74">
        <f t="shared" si="27"/>
        <v>0</v>
      </c>
      <c r="AH49" s="71">
        <f t="shared" si="28"/>
        <v>0</v>
      </c>
      <c r="AI49" s="71">
        <f t="shared" si="29"/>
        <v>0</v>
      </c>
      <c r="AJ49" s="71">
        <f t="shared" si="56"/>
        <v>0</v>
      </c>
      <c r="AK49" s="71">
        <f t="shared" si="31"/>
        <v>0</v>
      </c>
      <c r="AL49" s="71">
        <f t="shared" si="32"/>
        <v>0</v>
      </c>
      <c r="AM49" s="71">
        <f t="shared" si="57"/>
        <v>0</v>
      </c>
      <c r="AN49" s="71">
        <f t="shared" si="58"/>
        <v>0</v>
      </c>
      <c r="AO49" s="71">
        <f t="shared" si="35"/>
        <v>0</v>
      </c>
      <c r="AP49" s="71">
        <f t="shared" si="36"/>
        <v>0</v>
      </c>
      <c r="AQ49" s="71">
        <f t="shared" si="37"/>
        <v>0</v>
      </c>
      <c r="AR49" s="71">
        <f t="shared" si="38"/>
        <v>0</v>
      </c>
      <c r="AS49" s="71">
        <f t="shared" si="39"/>
        <v>0</v>
      </c>
      <c r="AT49" s="71">
        <f t="shared" si="40"/>
        <v>0</v>
      </c>
      <c r="AU49" s="306">
        <f t="shared" si="41"/>
        <v>0</v>
      </c>
      <c r="AV49" s="71">
        <f t="shared" si="42"/>
        <v>0</v>
      </c>
      <c r="AW49" s="71">
        <f t="shared" si="43"/>
        <v>0</v>
      </c>
      <c r="AX49" s="71">
        <f t="shared" si="44"/>
        <v>0</v>
      </c>
      <c r="AY49" s="113">
        <f t="shared" si="59"/>
        <v>0</v>
      </c>
      <c r="AZ49" s="113">
        <f t="shared" si="65"/>
        <v>0</v>
      </c>
      <c r="BA49" s="113">
        <f t="shared" si="67"/>
        <v>0</v>
      </c>
      <c r="BB49" s="113">
        <f t="shared" si="67"/>
        <v>0</v>
      </c>
      <c r="BC49" s="113">
        <f t="shared" si="67"/>
        <v>0</v>
      </c>
      <c r="BD49" s="113">
        <f t="shared" si="67"/>
        <v>0</v>
      </c>
      <c r="BE49" s="113">
        <f t="shared" si="67"/>
        <v>0</v>
      </c>
      <c r="BF49" s="113">
        <f t="shared" si="67"/>
        <v>0</v>
      </c>
      <c r="BG49" s="113">
        <f t="shared" si="67"/>
        <v>0</v>
      </c>
      <c r="BH49" s="113">
        <f t="shared" si="67"/>
        <v>0</v>
      </c>
      <c r="BI49" s="113">
        <f t="shared" si="67"/>
        <v>0</v>
      </c>
      <c r="BJ49" s="113">
        <f t="shared" si="67"/>
        <v>0</v>
      </c>
      <c r="BK49" s="113">
        <f t="shared" si="67"/>
        <v>0</v>
      </c>
      <c r="BL49" s="113">
        <f t="shared" si="67"/>
        <v>0</v>
      </c>
      <c r="BM49" s="113">
        <f t="shared" si="67"/>
        <v>0</v>
      </c>
      <c r="BN49" s="113">
        <f t="shared" si="67"/>
        <v>0</v>
      </c>
      <c r="BO49" s="113">
        <f t="shared" si="67"/>
        <v>0</v>
      </c>
      <c r="BP49" s="113">
        <f t="shared" si="67"/>
        <v>0</v>
      </c>
      <c r="BQ49" s="113">
        <f t="shared" si="54"/>
        <v>0</v>
      </c>
      <c r="BR49" s="113">
        <f t="shared" si="54"/>
        <v>0</v>
      </c>
      <c r="BS49" s="113">
        <f t="shared" si="47"/>
        <v>0</v>
      </c>
      <c r="BT49" s="113">
        <f t="shared" si="48"/>
        <v>0</v>
      </c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08">
        <f t="shared" si="49"/>
      </c>
      <c r="CJ49" s="113"/>
      <c r="CK49" s="113"/>
      <c r="CL49" s="113"/>
      <c r="CM49" s="113"/>
    </row>
    <row r="50" spans="1:91" s="112" customFormat="1" ht="15" customHeight="1">
      <c r="A50" s="103"/>
      <c r="B50" s="104"/>
      <c r="C50" s="105"/>
      <c r="D50" s="106"/>
      <c r="E50" s="107">
        <f t="shared" si="60"/>
      </c>
      <c r="F50" s="108">
        <f t="shared" si="8"/>
      </c>
      <c r="G50" s="109"/>
      <c r="H50" s="110"/>
      <c r="I50" s="486">
        <f t="shared" si="61"/>
        <v>0</v>
      </c>
      <c r="J50" s="486">
        <f t="shared" si="3"/>
        <v>0</v>
      </c>
      <c r="K50" s="486">
        <f t="shared" si="4"/>
        <v>0</v>
      </c>
      <c r="L50" s="111">
        <f t="shared" si="10"/>
        <v>0</v>
      </c>
      <c r="M50" s="176">
        <f t="shared" si="55"/>
        <v>0</v>
      </c>
      <c r="N50" s="177">
        <f t="shared" si="64"/>
        <v>0</v>
      </c>
      <c r="P50" s="306">
        <f t="shared" si="12"/>
        <v>0</v>
      </c>
      <c r="Q50" s="71">
        <f t="shared" si="13"/>
        <v>0</v>
      </c>
      <c r="R50" s="71">
        <f t="shared" si="14"/>
        <v>0</v>
      </c>
      <c r="S50" s="71">
        <f t="shared" si="15"/>
        <v>0</v>
      </c>
      <c r="T50" s="71">
        <f>IF(kontonr&gt;1499,IF(kontonr&lt;1560,$N50),0)+IF(kontonr&gt;(Kontoplan!P$3-1),IF(kontonr&lt;(Kontoplan!P$3+300),$N50,0),0)</f>
        <v>0</v>
      </c>
      <c r="U50" s="71">
        <f t="shared" si="16"/>
        <v>0</v>
      </c>
      <c r="V50" s="71">
        <f t="shared" si="17"/>
        <v>0</v>
      </c>
      <c r="W50" s="71">
        <f t="shared" si="18"/>
        <v>0</v>
      </c>
      <c r="X50" s="71">
        <f t="shared" si="19"/>
        <v>0</v>
      </c>
      <c r="Y50" s="71">
        <f t="shared" si="20"/>
        <v>0</v>
      </c>
      <c r="Z50" s="71">
        <f>IF(kontonr&gt;2399,IF(kontonr&lt;2500,$N50),0)+IF(kontonr&gt;(Kontoplan!$P$4-1),IF(kontonr&lt;(Kontoplan!$P$4+600),$N50,0),0)</f>
        <v>0</v>
      </c>
      <c r="AA50" s="71">
        <f t="shared" si="21"/>
        <v>0</v>
      </c>
      <c r="AB50" s="71">
        <f t="shared" si="22"/>
        <v>0</v>
      </c>
      <c r="AC50" s="71">
        <f t="shared" si="23"/>
        <v>0</v>
      </c>
      <c r="AD50" s="71">
        <f t="shared" si="24"/>
        <v>0</v>
      </c>
      <c r="AE50" s="71">
        <f t="shared" si="25"/>
        <v>0</v>
      </c>
      <c r="AF50" s="306">
        <f t="shared" si="26"/>
        <v>0</v>
      </c>
      <c r="AG50" s="74">
        <f t="shared" si="27"/>
        <v>0</v>
      </c>
      <c r="AH50" s="71">
        <f t="shared" si="28"/>
        <v>0</v>
      </c>
      <c r="AI50" s="71">
        <f t="shared" si="29"/>
        <v>0</v>
      </c>
      <c r="AJ50" s="71">
        <f t="shared" si="56"/>
        <v>0</v>
      </c>
      <c r="AK50" s="71">
        <f t="shared" si="31"/>
        <v>0</v>
      </c>
      <c r="AL50" s="71">
        <f t="shared" si="32"/>
        <v>0</v>
      </c>
      <c r="AM50" s="71">
        <f t="shared" si="57"/>
        <v>0</v>
      </c>
      <c r="AN50" s="71">
        <f t="shared" si="58"/>
        <v>0</v>
      </c>
      <c r="AO50" s="71">
        <f t="shared" si="35"/>
        <v>0</v>
      </c>
      <c r="AP50" s="71">
        <f t="shared" si="36"/>
        <v>0</v>
      </c>
      <c r="AQ50" s="71">
        <f t="shared" si="37"/>
        <v>0</v>
      </c>
      <c r="AR50" s="71">
        <f t="shared" si="38"/>
        <v>0</v>
      </c>
      <c r="AS50" s="71">
        <f t="shared" si="39"/>
        <v>0</v>
      </c>
      <c r="AT50" s="71">
        <f t="shared" si="40"/>
        <v>0</v>
      </c>
      <c r="AU50" s="306">
        <f t="shared" si="41"/>
        <v>0</v>
      </c>
      <c r="AV50" s="71">
        <f t="shared" si="42"/>
        <v>0</v>
      </c>
      <c r="AW50" s="71">
        <f t="shared" si="43"/>
        <v>0</v>
      </c>
      <c r="AX50" s="71">
        <f t="shared" si="44"/>
        <v>0</v>
      </c>
      <c r="AY50" s="113">
        <f t="shared" si="59"/>
        <v>0</v>
      </c>
      <c r="AZ50" s="113">
        <f t="shared" si="65"/>
        <v>0</v>
      </c>
      <c r="BA50" s="113">
        <f t="shared" si="67"/>
        <v>0</v>
      </c>
      <c r="BB50" s="113">
        <f t="shared" si="67"/>
        <v>0</v>
      </c>
      <c r="BC50" s="113">
        <f t="shared" si="67"/>
        <v>0</v>
      </c>
      <c r="BD50" s="113">
        <f t="shared" si="67"/>
        <v>0</v>
      </c>
      <c r="BE50" s="113">
        <f t="shared" si="67"/>
        <v>0</v>
      </c>
      <c r="BF50" s="113">
        <f t="shared" si="67"/>
        <v>0</v>
      </c>
      <c r="BG50" s="113">
        <f t="shared" si="67"/>
        <v>0</v>
      </c>
      <c r="BH50" s="113">
        <f t="shared" si="67"/>
        <v>0</v>
      </c>
      <c r="BI50" s="113">
        <f t="shared" si="67"/>
        <v>0</v>
      </c>
      <c r="BJ50" s="113">
        <f t="shared" si="67"/>
        <v>0</v>
      </c>
      <c r="BK50" s="113">
        <f t="shared" si="67"/>
        <v>0</v>
      </c>
      <c r="BL50" s="113">
        <f t="shared" si="67"/>
        <v>0</v>
      </c>
      <c r="BM50" s="113">
        <f t="shared" si="67"/>
        <v>0</v>
      </c>
      <c r="BN50" s="113">
        <f t="shared" si="67"/>
        <v>0</v>
      </c>
      <c r="BO50" s="113">
        <f t="shared" si="67"/>
        <v>0</v>
      </c>
      <c r="BP50" s="113">
        <f t="shared" si="67"/>
        <v>0</v>
      </c>
      <c r="BQ50" s="113">
        <f t="shared" si="54"/>
        <v>0</v>
      </c>
      <c r="BR50" s="113">
        <f t="shared" si="54"/>
        <v>0</v>
      </c>
      <c r="BS50" s="113">
        <f t="shared" si="47"/>
        <v>0</v>
      </c>
      <c r="BT50" s="113">
        <f t="shared" si="48"/>
        <v>0</v>
      </c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08">
        <f t="shared" si="49"/>
      </c>
      <c r="CJ50" s="113"/>
      <c r="CK50" s="113"/>
      <c r="CL50" s="113"/>
      <c r="CM50" s="113"/>
    </row>
    <row r="51" spans="1:91" s="112" customFormat="1" ht="15" customHeight="1">
      <c r="A51" s="103"/>
      <c r="B51" s="104"/>
      <c r="C51" s="105"/>
      <c r="D51" s="106"/>
      <c r="E51" s="107">
        <f t="shared" si="60"/>
      </c>
      <c r="F51" s="108">
        <f t="shared" si="8"/>
      </c>
      <c r="G51" s="109"/>
      <c r="H51" s="110"/>
      <c r="I51" s="486">
        <f t="shared" si="61"/>
        <v>0</v>
      </c>
      <c r="J51" s="486">
        <f t="shared" si="3"/>
        <v>0</v>
      </c>
      <c r="K51" s="486">
        <f t="shared" si="4"/>
        <v>0</v>
      </c>
      <c r="L51" s="111">
        <f t="shared" si="10"/>
        <v>0</v>
      </c>
      <c r="M51" s="176">
        <f t="shared" si="55"/>
        <v>0</v>
      </c>
      <c r="N51" s="177">
        <f t="shared" si="64"/>
        <v>0</v>
      </c>
      <c r="P51" s="306">
        <f t="shared" si="12"/>
        <v>0</v>
      </c>
      <c r="Q51" s="71">
        <f t="shared" si="13"/>
        <v>0</v>
      </c>
      <c r="R51" s="71">
        <f t="shared" si="14"/>
        <v>0</v>
      </c>
      <c r="S51" s="71">
        <f t="shared" si="15"/>
        <v>0</v>
      </c>
      <c r="T51" s="71">
        <f>IF(kontonr&gt;1499,IF(kontonr&lt;1560,$N51),0)+IF(kontonr&gt;(Kontoplan!P$3-1),IF(kontonr&lt;(Kontoplan!P$3+300),$N51,0),0)</f>
        <v>0</v>
      </c>
      <c r="U51" s="71">
        <f t="shared" si="16"/>
        <v>0</v>
      </c>
      <c r="V51" s="71">
        <f t="shared" si="17"/>
        <v>0</v>
      </c>
      <c r="W51" s="71">
        <f t="shared" si="18"/>
        <v>0</v>
      </c>
      <c r="X51" s="71">
        <f t="shared" si="19"/>
        <v>0</v>
      </c>
      <c r="Y51" s="71">
        <f t="shared" si="20"/>
        <v>0</v>
      </c>
      <c r="Z51" s="71">
        <f>IF(kontonr&gt;2399,IF(kontonr&lt;2500,$N51),0)+IF(kontonr&gt;(Kontoplan!$P$4-1),IF(kontonr&lt;(Kontoplan!$P$4+600),$N51,0),0)</f>
        <v>0</v>
      </c>
      <c r="AA51" s="71">
        <f t="shared" si="21"/>
        <v>0</v>
      </c>
      <c r="AB51" s="71">
        <f t="shared" si="22"/>
        <v>0</v>
      </c>
      <c r="AC51" s="71">
        <f t="shared" si="23"/>
        <v>0</v>
      </c>
      <c r="AD51" s="71">
        <f t="shared" si="24"/>
        <v>0</v>
      </c>
      <c r="AE51" s="71">
        <f t="shared" si="25"/>
        <v>0</v>
      </c>
      <c r="AF51" s="306">
        <f t="shared" si="26"/>
        <v>0</v>
      </c>
      <c r="AG51" s="74">
        <f t="shared" si="27"/>
        <v>0</v>
      </c>
      <c r="AH51" s="71">
        <f t="shared" si="28"/>
        <v>0</v>
      </c>
      <c r="AI51" s="71">
        <f t="shared" si="29"/>
        <v>0</v>
      </c>
      <c r="AJ51" s="71">
        <f t="shared" si="56"/>
        <v>0</v>
      </c>
      <c r="AK51" s="71">
        <f t="shared" si="31"/>
        <v>0</v>
      </c>
      <c r="AL51" s="71">
        <f t="shared" si="32"/>
        <v>0</v>
      </c>
      <c r="AM51" s="71">
        <f t="shared" si="57"/>
        <v>0</v>
      </c>
      <c r="AN51" s="71">
        <f t="shared" si="58"/>
        <v>0</v>
      </c>
      <c r="AO51" s="71">
        <f t="shared" si="35"/>
        <v>0</v>
      </c>
      <c r="AP51" s="71">
        <f t="shared" si="36"/>
        <v>0</v>
      </c>
      <c r="AQ51" s="71">
        <f t="shared" si="37"/>
        <v>0</v>
      </c>
      <c r="AR51" s="71">
        <f t="shared" si="38"/>
        <v>0</v>
      </c>
      <c r="AS51" s="71">
        <f t="shared" si="39"/>
        <v>0</v>
      </c>
      <c r="AT51" s="71">
        <f t="shared" si="40"/>
        <v>0</v>
      </c>
      <c r="AU51" s="306">
        <f t="shared" si="41"/>
        <v>0</v>
      </c>
      <c r="AV51" s="71">
        <f t="shared" si="42"/>
        <v>0</v>
      </c>
      <c r="AW51" s="71">
        <f t="shared" si="43"/>
        <v>0</v>
      </c>
      <c r="AX51" s="71">
        <f t="shared" si="44"/>
        <v>0</v>
      </c>
      <c r="AY51" s="113">
        <f t="shared" si="59"/>
        <v>0</v>
      </c>
      <c r="AZ51" s="113">
        <f t="shared" si="65"/>
        <v>0</v>
      </c>
      <c r="BA51" s="113">
        <f t="shared" si="63"/>
        <v>0</v>
      </c>
      <c r="BB51" s="113">
        <f t="shared" si="63"/>
        <v>0</v>
      </c>
      <c r="BC51" s="113">
        <f t="shared" si="63"/>
        <v>0</v>
      </c>
      <c r="BD51" s="113">
        <f t="shared" si="63"/>
        <v>0</v>
      </c>
      <c r="BE51" s="113">
        <f t="shared" si="63"/>
        <v>0</v>
      </c>
      <c r="BF51" s="113">
        <f t="shared" si="63"/>
        <v>0</v>
      </c>
      <c r="BG51" s="113">
        <f t="shared" si="63"/>
        <v>0</v>
      </c>
      <c r="BH51" s="113">
        <f t="shared" si="63"/>
        <v>0</v>
      </c>
      <c r="BI51" s="113">
        <f t="shared" si="63"/>
        <v>0</v>
      </c>
      <c r="BJ51" s="113">
        <f t="shared" si="63"/>
        <v>0</v>
      </c>
      <c r="BK51" s="113">
        <f t="shared" si="63"/>
        <v>0</v>
      </c>
      <c r="BL51" s="113">
        <f t="shared" si="63"/>
        <v>0</v>
      </c>
      <c r="BM51" s="113">
        <f t="shared" si="63"/>
        <v>0</v>
      </c>
      <c r="BN51" s="113">
        <f t="shared" si="63"/>
        <v>0</v>
      </c>
      <c r="BO51" s="113">
        <f t="shared" si="63"/>
        <v>0</v>
      </c>
      <c r="BP51" s="113">
        <f t="shared" si="63"/>
        <v>0</v>
      </c>
      <c r="BQ51" s="113">
        <f t="shared" si="54"/>
        <v>0</v>
      </c>
      <c r="BR51" s="113">
        <f t="shared" si="54"/>
        <v>0</v>
      </c>
      <c r="BS51" s="113">
        <f t="shared" si="47"/>
        <v>0</v>
      </c>
      <c r="BT51" s="113">
        <f t="shared" si="48"/>
        <v>0</v>
      </c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08">
        <f t="shared" si="49"/>
      </c>
      <c r="CJ51" s="113"/>
      <c r="CK51" s="113"/>
      <c r="CL51" s="113"/>
      <c r="CM51" s="113"/>
    </row>
    <row r="52" spans="1:91" s="112" customFormat="1" ht="15" customHeight="1">
      <c r="A52" s="103"/>
      <c r="B52" s="104"/>
      <c r="C52" s="471"/>
      <c r="D52" s="106"/>
      <c r="E52" s="107">
        <f t="shared" si="60"/>
      </c>
      <c r="F52" s="108">
        <f t="shared" si="8"/>
      </c>
      <c r="G52" s="109"/>
      <c r="H52" s="110"/>
      <c r="I52" s="486">
        <f t="shared" si="61"/>
        <v>0</v>
      </c>
      <c r="J52" s="486">
        <f t="shared" si="3"/>
        <v>0</v>
      </c>
      <c r="K52" s="486">
        <f t="shared" si="4"/>
        <v>0</v>
      </c>
      <c r="L52" s="111">
        <f t="shared" si="10"/>
        <v>0</v>
      </c>
      <c r="M52" s="176">
        <f t="shared" si="55"/>
        <v>0</v>
      </c>
      <c r="N52" s="177">
        <f t="shared" si="64"/>
        <v>0</v>
      </c>
      <c r="P52" s="306">
        <f t="shared" si="12"/>
        <v>0</v>
      </c>
      <c r="Q52" s="71">
        <f t="shared" si="13"/>
        <v>0</v>
      </c>
      <c r="R52" s="71">
        <f t="shared" si="14"/>
        <v>0</v>
      </c>
      <c r="S52" s="71">
        <f t="shared" si="15"/>
        <v>0</v>
      </c>
      <c r="T52" s="71">
        <f>IF(kontonr&gt;1499,IF(kontonr&lt;1560,$N52),0)+IF(kontonr&gt;(Kontoplan!P$3-1),IF(kontonr&lt;(Kontoplan!P$3+300),$N52,0),0)</f>
        <v>0</v>
      </c>
      <c r="U52" s="71">
        <f t="shared" si="16"/>
        <v>0</v>
      </c>
      <c r="V52" s="71">
        <f t="shared" si="17"/>
        <v>0</v>
      </c>
      <c r="W52" s="71">
        <f t="shared" si="18"/>
        <v>0</v>
      </c>
      <c r="X52" s="71">
        <f t="shared" si="19"/>
        <v>0</v>
      </c>
      <c r="Y52" s="71">
        <f t="shared" si="20"/>
        <v>0</v>
      </c>
      <c r="Z52" s="71">
        <f>IF(kontonr&gt;2399,IF(kontonr&lt;2500,$N52),0)+IF(kontonr&gt;(Kontoplan!$P$4-1),IF(kontonr&lt;(Kontoplan!$P$4+600),$N52,0),0)</f>
        <v>0</v>
      </c>
      <c r="AA52" s="71">
        <f t="shared" si="21"/>
        <v>0</v>
      </c>
      <c r="AB52" s="71">
        <f t="shared" si="22"/>
        <v>0</v>
      </c>
      <c r="AC52" s="71">
        <f t="shared" si="23"/>
        <v>0</v>
      </c>
      <c r="AD52" s="71">
        <f t="shared" si="24"/>
        <v>0</v>
      </c>
      <c r="AE52" s="71">
        <f t="shared" si="25"/>
        <v>0</v>
      </c>
      <c r="AF52" s="306">
        <f t="shared" si="26"/>
        <v>0</v>
      </c>
      <c r="AG52" s="74">
        <f t="shared" si="27"/>
        <v>0</v>
      </c>
      <c r="AH52" s="71">
        <f t="shared" si="28"/>
        <v>0</v>
      </c>
      <c r="AI52" s="71">
        <f t="shared" si="29"/>
        <v>0</v>
      </c>
      <c r="AJ52" s="71">
        <f t="shared" si="56"/>
        <v>0</v>
      </c>
      <c r="AK52" s="71">
        <f t="shared" si="31"/>
        <v>0</v>
      </c>
      <c r="AL52" s="71">
        <f t="shared" si="32"/>
        <v>0</v>
      </c>
      <c r="AM52" s="71">
        <f t="shared" si="57"/>
        <v>0</v>
      </c>
      <c r="AN52" s="71">
        <f t="shared" si="58"/>
        <v>0</v>
      </c>
      <c r="AO52" s="71">
        <f t="shared" si="35"/>
        <v>0</v>
      </c>
      <c r="AP52" s="71">
        <f t="shared" si="36"/>
        <v>0</v>
      </c>
      <c r="AQ52" s="71">
        <f t="shared" si="37"/>
        <v>0</v>
      </c>
      <c r="AR52" s="71">
        <f t="shared" si="38"/>
        <v>0</v>
      </c>
      <c r="AS52" s="71">
        <f t="shared" si="39"/>
        <v>0</v>
      </c>
      <c r="AT52" s="71">
        <f t="shared" si="40"/>
        <v>0</v>
      </c>
      <c r="AU52" s="306">
        <f t="shared" si="41"/>
        <v>0</v>
      </c>
      <c r="AV52" s="71">
        <f t="shared" si="42"/>
        <v>0</v>
      </c>
      <c r="AW52" s="71">
        <f t="shared" si="43"/>
        <v>0</v>
      </c>
      <c r="AX52" s="71">
        <f t="shared" si="44"/>
        <v>0</v>
      </c>
      <c r="AY52" s="113">
        <f t="shared" si="59"/>
        <v>0</v>
      </c>
      <c r="AZ52" s="113">
        <f t="shared" si="65"/>
        <v>0</v>
      </c>
      <c r="BA52" s="113">
        <f t="shared" si="63"/>
        <v>0</v>
      </c>
      <c r="BB52" s="113">
        <f t="shared" si="63"/>
        <v>0</v>
      </c>
      <c r="BC52" s="113">
        <f t="shared" si="63"/>
        <v>0</v>
      </c>
      <c r="BD52" s="113">
        <f t="shared" si="63"/>
        <v>0</v>
      </c>
      <c r="BE52" s="113">
        <f t="shared" si="63"/>
        <v>0</v>
      </c>
      <c r="BF52" s="113">
        <f t="shared" si="63"/>
        <v>0</v>
      </c>
      <c r="BG52" s="113">
        <f t="shared" si="63"/>
        <v>0</v>
      </c>
      <c r="BH52" s="113">
        <f t="shared" si="63"/>
        <v>0</v>
      </c>
      <c r="BI52" s="113">
        <f t="shared" si="63"/>
        <v>0</v>
      </c>
      <c r="BJ52" s="113">
        <f t="shared" si="63"/>
        <v>0</v>
      </c>
      <c r="BK52" s="113">
        <f t="shared" si="63"/>
        <v>0</v>
      </c>
      <c r="BL52" s="113">
        <f t="shared" si="63"/>
        <v>0</v>
      </c>
      <c r="BM52" s="113">
        <f t="shared" si="63"/>
        <v>0</v>
      </c>
      <c r="BN52" s="113">
        <f t="shared" si="63"/>
        <v>0</v>
      </c>
      <c r="BO52" s="113">
        <f t="shared" si="63"/>
        <v>0</v>
      </c>
      <c r="BP52" s="113">
        <f t="shared" si="63"/>
        <v>0</v>
      </c>
      <c r="BQ52" s="113">
        <f t="shared" si="54"/>
        <v>0</v>
      </c>
      <c r="BR52" s="113">
        <f t="shared" si="54"/>
        <v>0</v>
      </c>
      <c r="BS52" s="113">
        <f t="shared" si="47"/>
        <v>0</v>
      </c>
      <c r="BT52" s="113">
        <f t="shared" si="48"/>
        <v>0</v>
      </c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08">
        <f t="shared" si="49"/>
      </c>
      <c r="CJ52" s="113"/>
      <c r="CK52" s="113"/>
      <c r="CL52" s="113"/>
      <c r="CM52" s="113"/>
    </row>
    <row r="53" spans="1:91" s="112" customFormat="1" ht="15" customHeight="1">
      <c r="A53" s="103"/>
      <c r="B53" s="104"/>
      <c r="C53" s="471"/>
      <c r="D53" s="106"/>
      <c r="E53" s="107">
        <f t="shared" si="60"/>
      </c>
      <c r="F53" s="108">
        <f t="shared" si="8"/>
      </c>
      <c r="G53" s="109"/>
      <c r="H53" s="110"/>
      <c r="I53" s="486">
        <f t="shared" si="61"/>
        <v>0</v>
      </c>
      <c r="J53" s="486">
        <f t="shared" si="3"/>
        <v>0</v>
      </c>
      <c r="K53" s="486">
        <f t="shared" si="4"/>
        <v>0</v>
      </c>
      <c r="L53" s="111">
        <f t="shared" si="10"/>
        <v>0</v>
      </c>
      <c r="M53" s="176">
        <f t="shared" si="55"/>
        <v>0</v>
      </c>
      <c r="N53" s="177">
        <f t="shared" si="64"/>
        <v>0</v>
      </c>
      <c r="P53" s="306">
        <f t="shared" si="12"/>
        <v>0</v>
      </c>
      <c r="Q53" s="71">
        <f t="shared" si="13"/>
        <v>0</v>
      </c>
      <c r="R53" s="71">
        <f t="shared" si="14"/>
        <v>0</v>
      </c>
      <c r="S53" s="71">
        <f t="shared" si="15"/>
        <v>0</v>
      </c>
      <c r="T53" s="71">
        <f>IF(kontonr&gt;1499,IF(kontonr&lt;1560,$N53),0)+IF(kontonr&gt;(Kontoplan!P$3-1),IF(kontonr&lt;(Kontoplan!P$3+300),$N53,0),0)</f>
        <v>0</v>
      </c>
      <c r="U53" s="71">
        <f t="shared" si="16"/>
        <v>0</v>
      </c>
      <c r="V53" s="71">
        <f t="shared" si="17"/>
        <v>0</v>
      </c>
      <c r="W53" s="71">
        <f t="shared" si="18"/>
        <v>0</v>
      </c>
      <c r="X53" s="71">
        <f t="shared" si="19"/>
        <v>0</v>
      </c>
      <c r="Y53" s="71">
        <f t="shared" si="20"/>
        <v>0</v>
      </c>
      <c r="Z53" s="71">
        <f>IF(kontonr&gt;2399,IF(kontonr&lt;2500,$N53),0)+IF(kontonr&gt;(Kontoplan!$P$4-1),IF(kontonr&lt;(Kontoplan!$P$4+600),$N53,0),0)</f>
        <v>0</v>
      </c>
      <c r="AA53" s="71">
        <f t="shared" si="21"/>
        <v>0</v>
      </c>
      <c r="AB53" s="71">
        <f t="shared" si="22"/>
        <v>0</v>
      </c>
      <c r="AC53" s="71">
        <f t="shared" si="23"/>
        <v>0</v>
      </c>
      <c r="AD53" s="71">
        <f t="shared" si="24"/>
        <v>0</v>
      </c>
      <c r="AE53" s="71">
        <f t="shared" si="25"/>
        <v>0</v>
      </c>
      <c r="AF53" s="306">
        <f t="shared" si="26"/>
        <v>0</v>
      </c>
      <c r="AG53" s="74">
        <f t="shared" si="27"/>
        <v>0</v>
      </c>
      <c r="AH53" s="71">
        <f t="shared" si="28"/>
        <v>0</v>
      </c>
      <c r="AI53" s="71">
        <f t="shared" si="29"/>
        <v>0</v>
      </c>
      <c r="AJ53" s="71">
        <f t="shared" si="56"/>
        <v>0</v>
      </c>
      <c r="AK53" s="71">
        <f t="shared" si="31"/>
        <v>0</v>
      </c>
      <c r="AL53" s="71">
        <f t="shared" si="32"/>
        <v>0</v>
      </c>
      <c r="AM53" s="71">
        <f t="shared" si="57"/>
        <v>0</v>
      </c>
      <c r="AN53" s="71">
        <f t="shared" si="58"/>
        <v>0</v>
      </c>
      <c r="AO53" s="71">
        <f t="shared" si="35"/>
        <v>0</v>
      </c>
      <c r="AP53" s="71">
        <f t="shared" si="36"/>
        <v>0</v>
      </c>
      <c r="AQ53" s="71">
        <f t="shared" si="37"/>
        <v>0</v>
      </c>
      <c r="AR53" s="71">
        <f t="shared" si="38"/>
        <v>0</v>
      </c>
      <c r="AS53" s="71">
        <f t="shared" si="39"/>
        <v>0</v>
      </c>
      <c r="AT53" s="71">
        <f t="shared" si="40"/>
        <v>0</v>
      </c>
      <c r="AU53" s="306">
        <f t="shared" si="41"/>
        <v>0</v>
      </c>
      <c r="AV53" s="71">
        <f t="shared" si="42"/>
        <v>0</v>
      </c>
      <c r="AW53" s="71">
        <f t="shared" si="43"/>
        <v>0</v>
      </c>
      <c r="AX53" s="71">
        <f t="shared" si="44"/>
        <v>0</v>
      </c>
      <c r="AY53" s="113">
        <f t="shared" si="59"/>
        <v>0</v>
      </c>
      <c r="AZ53" s="113">
        <f t="shared" si="65"/>
        <v>0</v>
      </c>
      <c r="BA53" s="113">
        <f t="shared" si="63"/>
        <v>0</v>
      </c>
      <c r="BB53" s="113">
        <f t="shared" si="63"/>
        <v>0</v>
      </c>
      <c r="BC53" s="113">
        <f t="shared" si="63"/>
        <v>0</v>
      </c>
      <c r="BD53" s="113">
        <f t="shared" si="63"/>
        <v>0</v>
      </c>
      <c r="BE53" s="113">
        <f t="shared" si="63"/>
        <v>0</v>
      </c>
      <c r="BF53" s="113">
        <f t="shared" si="63"/>
        <v>0</v>
      </c>
      <c r="BG53" s="113">
        <f t="shared" si="63"/>
        <v>0</v>
      </c>
      <c r="BH53" s="113">
        <f t="shared" si="63"/>
        <v>0</v>
      </c>
      <c r="BI53" s="113">
        <f t="shared" si="63"/>
        <v>0</v>
      </c>
      <c r="BJ53" s="113">
        <f t="shared" si="63"/>
        <v>0</v>
      </c>
      <c r="BK53" s="113">
        <f t="shared" si="63"/>
        <v>0</v>
      </c>
      <c r="BL53" s="113">
        <f t="shared" si="63"/>
        <v>0</v>
      </c>
      <c r="BM53" s="113">
        <f t="shared" si="63"/>
        <v>0</v>
      </c>
      <c r="BN53" s="113">
        <f t="shared" si="63"/>
        <v>0</v>
      </c>
      <c r="BO53" s="113">
        <f t="shared" si="63"/>
        <v>0</v>
      </c>
      <c r="BP53" s="113">
        <f t="shared" si="63"/>
        <v>0</v>
      </c>
      <c r="BQ53" s="113">
        <f t="shared" si="54"/>
        <v>0</v>
      </c>
      <c r="BR53" s="113">
        <f t="shared" si="54"/>
        <v>0</v>
      </c>
      <c r="BS53" s="113">
        <f t="shared" si="47"/>
        <v>0</v>
      </c>
      <c r="BT53" s="113">
        <f t="shared" si="48"/>
        <v>0</v>
      </c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08">
        <f t="shared" si="49"/>
      </c>
      <c r="CJ53" s="113"/>
      <c r="CK53" s="113"/>
      <c r="CL53" s="113"/>
      <c r="CM53" s="113"/>
    </row>
    <row r="54" spans="1:91" s="112" customFormat="1" ht="15" customHeight="1">
      <c r="A54" s="103"/>
      <c r="B54" s="104"/>
      <c r="C54" s="471"/>
      <c r="D54" s="106"/>
      <c r="E54" s="107">
        <f t="shared" si="60"/>
      </c>
      <c r="F54" s="108">
        <f t="shared" si="8"/>
      </c>
      <c r="G54" s="109"/>
      <c r="H54" s="110"/>
      <c r="I54" s="486">
        <f t="shared" si="61"/>
        <v>0</v>
      </c>
      <c r="J54" s="486">
        <f t="shared" si="3"/>
        <v>0</v>
      </c>
      <c r="K54" s="486">
        <f t="shared" si="4"/>
        <v>0</v>
      </c>
      <c r="L54" s="111">
        <f t="shared" si="10"/>
        <v>0</v>
      </c>
      <c r="M54" s="176">
        <f t="shared" si="55"/>
        <v>0</v>
      </c>
      <c r="N54" s="177">
        <f t="shared" si="64"/>
        <v>0</v>
      </c>
      <c r="P54" s="306">
        <f t="shared" si="12"/>
        <v>0</v>
      </c>
      <c r="Q54" s="71">
        <f t="shared" si="13"/>
        <v>0</v>
      </c>
      <c r="R54" s="71">
        <f t="shared" si="14"/>
        <v>0</v>
      </c>
      <c r="S54" s="71">
        <f t="shared" si="15"/>
        <v>0</v>
      </c>
      <c r="T54" s="71">
        <f>IF(kontonr&gt;1499,IF(kontonr&lt;1560,$N54),0)+IF(kontonr&gt;(Kontoplan!P$3-1),IF(kontonr&lt;(Kontoplan!P$3+300),$N54,0),0)</f>
        <v>0</v>
      </c>
      <c r="U54" s="71">
        <f t="shared" si="16"/>
        <v>0</v>
      </c>
      <c r="V54" s="71">
        <f t="shared" si="17"/>
        <v>0</v>
      </c>
      <c r="W54" s="71">
        <f t="shared" si="18"/>
        <v>0</v>
      </c>
      <c r="X54" s="71">
        <f t="shared" si="19"/>
        <v>0</v>
      </c>
      <c r="Y54" s="71">
        <f t="shared" si="20"/>
        <v>0</v>
      </c>
      <c r="Z54" s="71">
        <f>IF(kontonr&gt;2399,IF(kontonr&lt;2500,$N54),0)+IF(kontonr&gt;(Kontoplan!$P$4-1),IF(kontonr&lt;(Kontoplan!$P$4+600),$N54,0),0)</f>
        <v>0</v>
      </c>
      <c r="AA54" s="71">
        <f t="shared" si="21"/>
        <v>0</v>
      </c>
      <c r="AB54" s="71">
        <f t="shared" si="22"/>
        <v>0</v>
      </c>
      <c r="AC54" s="71">
        <f t="shared" si="23"/>
        <v>0</v>
      </c>
      <c r="AD54" s="71">
        <f t="shared" si="24"/>
        <v>0</v>
      </c>
      <c r="AE54" s="71">
        <f t="shared" si="25"/>
        <v>0</v>
      </c>
      <c r="AF54" s="306">
        <f t="shared" si="26"/>
        <v>0</v>
      </c>
      <c r="AG54" s="74">
        <f t="shared" si="27"/>
        <v>0</v>
      </c>
      <c r="AH54" s="71">
        <f t="shared" si="28"/>
        <v>0</v>
      </c>
      <c r="AI54" s="71">
        <f t="shared" si="29"/>
        <v>0</v>
      </c>
      <c r="AJ54" s="71">
        <f t="shared" si="56"/>
        <v>0</v>
      </c>
      <c r="AK54" s="71">
        <f t="shared" si="31"/>
        <v>0</v>
      </c>
      <c r="AL54" s="71">
        <f t="shared" si="32"/>
        <v>0</v>
      </c>
      <c r="AM54" s="71">
        <f t="shared" si="57"/>
        <v>0</v>
      </c>
      <c r="AN54" s="71">
        <f t="shared" si="58"/>
        <v>0</v>
      </c>
      <c r="AO54" s="71">
        <f t="shared" si="35"/>
        <v>0</v>
      </c>
      <c r="AP54" s="71">
        <f t="shared" si="36"/>
        <v>0</v>
      </c>
      <c r="AQ54" s="71">
        <f t="shared" si="37"/>
        <v>0</v>
      </c>
      <c r="AR54" s="71">
        <f t="shared" si="38"/>
        <v>0</v>
      </c>
      <c r="AS54" s="71">
        <f t="shared" si="39"/>
        <v>0</v>
      </c>
      <c r="AT54" s="71">
        <f t="shared" si="40"/>
        <v>0</v>
      </c>
      <c r="AU54" s="306">
        <f t="shared" si="41"/>
        <v>0</v>
      </c>
      <c r="AV54" s="71">
        <f t="shared" si="42"/>
        <v>0</v>
      </c>
      <c r="AW54" s="71">
        <f t="shared" si="43"/>
        <v>0</v>
      </c>
      <c r="AX54" s="71">
        <f t="shared" si="44"/>
        <v>0</v>
      </c>
      <c r="AY54" s="113">
        <f t="shared" si="59"/>
        <v>0</v>
      </c>
      <c r="AZ54" s="113">
        <f t="shared" si="65"/>
        <v>0</v>
      </c>
      <c r="BA54" s="113">
        <f t="shared" si="63"/>
        <v>0</v>
      </c>
      <c r="BB54" s="113">
        <f t="shared" si="63"/>
        <v>0</v>
      </c>
      <c r="BC54" s="113">
        <f t="shared" si="63"/>
        <v>0</v>
      </c>
      <c r="BD54" s="113">
        <f t="shared" si="63"/>
        <v>0</v>
      </c>
      <c r="BE54" s="113">
        <f t="shared" si="63"/>
        <v>0</v>
      </c>
      <c r="BF54" s="113">
        <f t="shared" si="63"/>
        <v>0</v>
      </c>
      <c r="BG54" s="113">
        <f t="shared" si="63"/>
        <v>0</v>
      </c>
      <c r="BH54" s="113">
        <f t="shared" si="63"/>
        <v>0</v>
      </c>
      <c r="BI54" s="113">
        <f t="shared" si="63"/>
        <v>0</v>
      </c>
      <c r="BJ54" s="113">
        <f t="shared" si="63"/>
        <v>0</v>
      </c>
      <c r="BK54" s="113">
        <f t="shared" si="63"/>
        <v>0</v>
      </c>
      <c r="BL54" s="113">
        <f t="shared" si="63"/>
        <v>0</v>
      </c>
      <c r="BM54" s="113">
        <f t="shared" si="63"/>
        <v>0</v>
      </c>
      <c r="BN54" s="113">
        <f t="shared" si="63"/>
        <v>0</v>
      </c>
      <c r="BO54" s="113">
        <f t="shared" si="63"/>
        <v>0</v>
      </c>
      <c r="BP54" s="113">
        <f t="shared" si="63"/>
        <v>0</v>
      </c>
      <c r="BQ54" s="113">
        <f t="shared" si="54"/>
        <v>0</v>
      </c>
      <c r="BR54" s="113">
        <f t="shared" si="54"/>
        <v>0</v>
      </c>
      <c r="BS54" s="113">
        <f t="shared" si="47"/>
        <v>0</v>
      </c>
      <c r="BT54" s="113">
        <f t="shared" si="48"/>
        <v>0</v>
      </c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08">
        <f t="shared" si="49"/>
      </c>
      <c r="CJ54" s="113"/>
      <c r="CK54" s="113"/>
      <c r="CL54" s="113"/>
      <c r="CM54" s="113"/>
    </row>
    <row r="55" spans="1:91" s="112" customFormat="1" ht="15" customHeight="1">
      <c r="A55" s="103"/>
      <c r="B55" s="104"/>
      <c r="C55" s="471"/>
      <c r="D55" s="106"/>
      <c r="E55" s="107">
        <f t="shared" si="60"/>
      </c>
      <c r="F55" s="108">
        <f t="shared" si="8"/>
      </c>
      <c r="G55" s="109"/>
      <c r="H55" s="110"/>
      <c r="I55" s="486">
        <f t="shared" si="61"/>
        <v>0</v>
      </c>
      <c r="J55" s="486">
        <f t="shared" si="3"/>
        <v>0</v>
      </c>
      <c r="K55" s="486">
        <f t="shared" si="4"/>
        <v>0</v>
      </c>
      <c r="L55" s="111">
        <f t="shared" si="10"/>
        <v>0</v>
      </c>
      <c r="M55" s="176">
        <f t="shared" si="55"/>
        <v>0</v>
      </c>
      <c r="N55" s="177">
        <f t="shared" si="64"/>
        <v>0</v>
      </c>
      <c r="P55" s="306">
        <f t="shared" si="12"/>
        <v>0</v>
      </c>
      <c r="Q55" s="71">
        <f t="shared" si="13"/>
        <v>0</v>
      </c>
      <c r="R55" s="71">
        <f t="shared" si="14"/>
        <v>0</v>
      </c>
      <c r="S55" s="71">
        <f t="shared" si="15"/>
        <v>0</v>
      </c>
      <c r="T55" s="71">
        <f>IF(kontonr&gt;1499,IF(kontonr&lt;1560,$N55),0)+IF(kontonr&gt;(Kontoplan!P$3-1),IF(kontonr&lt;(Kontoplan!P$3+300),$N55,0),0)</f>
        <v>0</v>
      </c>
      <c r="U55" s="71">
        <f t="shared" si="16"/>
        <v>0</v>
      </c>
      <c r="V55" s="71">
        <f t="shared" si="17"/>
        <v>0</v>
      </c>
      <c r="W55" s="71">
        <f t="shared" si="18"/>
        <v>0</v>
      </c>
      <c r="X55" s="71">
        <f t="shared" si="19"/>
        <v>0</v>
      </c>
      <c r="Y55" s="71">
        <f t="shared" si="20"/>
        <v>0</v>
      </c>
      <c r="Z55" s="71">
        <f>IF(kontonr&gt;2399,IF(kontonr&lt;2500,$N55),0)+IF(kontonr&gt;(Kontoplan!$P$4-1),IF(kontonr&lt;(Kontoplan!$P$4+600),$N55,0),0)</f>
        <v>0</v>
      </c>
      <c r="AA55" s="71">
        <f t="shared" si="21"/>
        <v>0</v>
      </c>
      <c r="AB55" s="71">
        <f t="shared" si="22"/>
        <v>0</v>
      </c>
      <c r="AC55" s="71">
        <f t="shared" si="23"/>
        <v>0</v>
      </c>
      <c r="AD55" s="71">
        <f t="shared" si="24"/>
        <v>0</v>
      </c>
      <c r="AE55" s="71">
        <f t="shared" si="25"/>
        <v>0</v>
      </c>
      <c r="AF55" s="306">
        <f t="shared" si="26"/>
        <v>0</v>
      </c>
      <c r="AG55" s="74">
        <f t="shared" si="27"/>
        <v>0</v>
      </c>
      <c r="AH55" s="71">
        <f t="shared" si="28"/>
        <v>0</v>
      </c>
      <c r="AI55" s="71">
        <f t="shared" si="29"/>
        <v>0</v>
      </c>
      <c r="AJ55" s="71">
        <f t="shared" si="56"/>
        <v>0</v>
      </c>
      <c r="AK55" s="71">
        <f t="shared" si="31"/>
        <v>0</v>
      </c>
      <c r="AL55" s="71">
        <f t="shared" si="32"/>
        <v>0</v>
      </c>
      <c r="AM55" s="71">
        <f t="shared" si="57"/>
        <v>0</v>
      </c>
      <c r="AN55" s="71">
        <f t="shared" si="58"/>
        <v>0</v>
      </c>
      <c r="AO55" s="71">
        <f t="shared" si="35"/>
        <v>0</v>
      </c>
      <c r="AP55" s="71">
        <f t="shared" si="36"/>
        <v>0</v>
      </c>
      <c r="AQ55" s="71">
        <f t="shared" si="37"/>
        <v>0</v>
      </c>
      <c r="AR55" s="71">
        <f t="shared" si="38"/>
        <v>0</v>
      </c>
      <c r="AS55" s="71">
        <f t="shared" si="39"/>
        <v>0</v>
      </c>
      <c r="AT55" s="71">
        <f t="shared" si="40"/>
        <v>0</v>
      </c>
      <c r="AU55" s="306">
        <f t="shared" si="41"/>
        <v>0</v>
      </c>
      <c r="AV55" s="71">
        <f t="shared" si="42"/>
        <v>0</v>
      </c>
      <c r="AW55" s="71">
        <f t="shared" si="43"/>
        <v>0</v>
      </c>
      <c r="AX55" s="71">
        <f t="shared" si="44"/>
        <v>0</v>
      </c>
      <c r="AY55" s="113">
        <f t="shared" si="59"/>
        <v>0</v>
      </c>
      <c r="AZ55" s="113">
        <f t="shared" si="65"/>
        <v>0</v>
      </c>
      <c r="BA55" s="113">
        <f t="shared" si="63"/>
        <v>0</v>
      </c>
      <c r="BB55" s="113">
        <f t="shared" si="63"/>
        <v>0</v>
      </c>
      <c r="BC55" s="113">
        <f t="shared" si="63"/>
        <v>0</v>
      </c>
      <c r="BD55" s="113">
        <f t="shared" si="63"/>
        <v>0</v>
      </c>
      <c r="BE55" s="113">
        <f t="shared" si="63"/>
        <v>0</v>
      </c>
      <c r="BF55" s="113">
        <f t="shared" si="63"/>
        <v>0</v>
      </c>
      <c r="BG55" s="113">
        <f t="shared" si="63"/>
        <v>0</v>
      </c>
      <c r="BH55" s="113">
        <f t="shared" si="63"/>
        <v>0</v>
      </c>
      <c r="BI55" s="113">
        <f t="shared" si="63"/>
        <v>0</v>
      </c>
      <c r="BJ55" s="113">
        <f t="shared" si="63"/>
        <v>0</v>
      </c>
      <c r="BK55" s="113">
        <f t="shared" si="63"/>
        <v>0</v>
      </c>
      <c r="BL55" s="113">
        <f t="shared" si="63"/>
        <v>0</v>
      </c>
      <c r="BM55" s="113">
        <f t="shared" si="63"/>
        <v>0</v>
      </c>
      <c r="BN55" s="113">
        <f t="shared" si="63"/>
        <v>0</v>
      </c>
      <c r="BO55" s="113">
        <f t="shared" si="63"/>
        <v>0</v>
      </c>
      <c r="BP55" s="113">
        <f t="shared" si="63"/>
        <v>0</v>
      </c>
      <c r="BQ55" s="113">
        <f t="shared" si="54"/>
        <v>0</v>
      </c>
      <c r="BR55" s="113">
        <f t="shared" si="54"/>
        <v>0</v>
      </c>
      <c r="BS55" s="113">
        <f t="shared" si="47"/>
        <v>0</v>
      </c>
      <c r="BT55" s="113">
        <f t="shared" si="48"/>
        <v>0</v>
      </c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08">
        <f t="shared" si="49"/>
      </c>
      <c r="CJ55" s="113"/>
      <c r="CK55" s="113"/>
      <c r="CL55" s="113"/>
      <c r="CM55" s="113"/>
    </row>
    <row r="56" spans="1:91" s="112" customFormat="1" ht="15" customHeight="1">
      <c r="A56" s="103"/>
      <c r="B56" s="104"/>
      <c r="C56" s="471"/>
      <c r="D56" s="106"/>
      <c r="E56" s="107">
        <f t="shared" si="60"/>
      </c>
      <c r="F56" s="108">
        <f t="shared" si="8"/>
      </c>
      <c r="G56" s="109"/>
      <c r="H56" s="110"/>
      <c r="I56" s="486">
        <f t="shared" si="61"/>
        <v>0</v>
      </c>
      <c r="J56" s="486">
        <f t="shared" si="3"/>
        <v>0</v>
      </c>
      <c r="K56" s="486">
        <f t="shared" si="4"/>
        <v>0</v>
      </c>
      <c r="L56" s="111">
        <f t="shared" si="10"/>
        <v>0</v>
      </c>
      <c r="M56" s="176">
        <f t="shared" si="55"/>
        <v>0</v>
      </c>
      <c r="N56" s="177">
        <f t="shared" si="64"/>
        <v>0</v>
      </c>
      <c r="P56" s="306">
        <f t="shared" si="12"/>
        <v>0</v>
      </c>
      <c r="Q56" s="71">
        <f t="shared" si="13"/>
        <v>0</v>
      </c>
      <c r="R56" s="71">
        <f t="shared" si="14"/>
        <v>0</v>
      </c>
      <c r="S56" s="71">
        <f t="shared" si="15"/>
        <v>0</v>
      </c>
      <c r="T56" s="71">
        <f>IF(kontonr&gt;1499,IF(kontonr&lt;1560,$N56),0)+IF(kontonr&gt;(Kontoplan!P$3-1),IF(kontonr&lt;(Kontoplan!P$3+300),$N56,0),0)</f>
        <v>0</v>
      </c>
      <c r="U56" s="71">
        <f t="shared" si="16"/>
        <v>0</v>
      </c>
      <c r="V56" s="71">
        <f t="shared" si="17"/>
        <v>0</v>
      </c>
      <c r="W56" s="71">
        <f t="shared" si="18"/>
        <v>0</v>
      </c>
      <c r="X56" s="71">
        <f t="shared" si="19"/>
        <v>0</v>
      </c>
      <c r="Y56" s="71">
        <f t="shared" si="20"/>
        <v>0</v>
      </c>
      <c r="Z56" s="71">
        <f>IF(kontonr&gt;2399,IF(kontonr&lt;2500,$N56),0)+IF(kontonr&gt;(Kontoplan!$P$4-1),IF(kontonr&lt;(Kontoplan!$P$4+600),$N56,0),0)</f>
        <v>0</v>
      </c>
      <c r="AA56" s="71">
        <f t="shared" si="21"/>
        <v>0</v>
      </c>
      <c r="AB56" s="71">
        <f t="shared" si="22"/>
        <v>0</v>
      </c>
      <c r="AC56" s="71">
        <f t="shared" si="23"/>
        <v>0</v>
      </c>
      <c r="AD56" s="71">
        <f t="shared" si="24"/>
        <v>0</v>
      </c>
      <c r="AE56" s="71">
        <f t="shared" si="25"/>
        <v>0</v>
      </c>
      <c r="AF56" s="306">
        <f t="shared" si="26"/>
        <v>0</v>
      </c>
      <c r="AG56" s="74">
        <f t="shared" si="27"/>
        <v>0</v>
      </c>
      <c r="AH56" s="71">
        <f t="shared" si="28"/>
        <v>0</v>
      </c>
      <c r="AI56" s="71">
        <f t="shared" si="29"/>
        <v>0</v>
      </c>
      <c r="AJ56" s="71">
        <f t="shared" si="56"/>
        <v>0</v>
      </c>
      <c r="AK56" s="71">
        <f t="shared" si="31"/>
        <v>0</v>
      </c>
      <c r="AL56" s="71">
        <f t="shared" si="32"/>
        <v>0</v>
      </c>
      <c r="AM56" s="71">
        <f t="shared" si="57"/>
        <v>0</v>
      </c>
      <c r="AN56" s="71">
        <f t="shared" si="58"/>
        <v>0</v>
      </c>
      <c r="AO56" s="71">
        <f t="shared" si="35"/>
        <v>0</v>
      </c>
      <c r="AP56" s="71">
        <f t="shared" si="36"/>
        <v>0</v>
      </c>
      <c r="AQ56" s="71">
        <f t="shared" si="37"/>
        <v>0</v>
      </c>
      <c r="AR56" s="71">
        <f t="shared" si="38"/>
        <v>0</v>
      </c>
      <c r="AS56" s="71">
        <f t="shared" si="39"/>
        <v>0</v>
      </c>
      <c r="AT56" s="71">
        <f t="shared" si="40"/>
        <v>0</v>
      </c>
      <c r="AU56" s="306">
        <f t="shared" si="41"/>
        <v>0</v>
      </c>
      <c r="AV56" s="71">
        <f t="shared" si="42"/>
        <v>0</v>
      </c>
      <c r="AW56" s="71">
        <f t="shared" si="43"/>
        <v>0</v>
      </c>
      <c r="AX56" s="71">
        <f t="shared" si="44"/>
        <v>0</v>
      </c>
      <c r="AY56" s="113">
        <f t="shared" si="59"/>
        <v>0</v>
      </c>
      <c r="AZ56" s="113">
        <f t="shared" si="65"/>
        <v>0</v>
      </c>
      <c r="BA56" s="113">
        <f t="shared" si="63"/>
        <v>0</v>
      </c>
      <c r="BB56" s="113">
        <f t="shared" si="63"/>
        <v>0</v>
      </c>
      <c r="BC56" s="113">
        <f t="shared" si="63"/>
        <v>0</v>
      </c>
      <c r="BD56" s="113">
        <f t="shared" si="63"/>
        <v>0</v>
      </c>
      <c r="BE56" s="113">
        <f t="shared" si="63"/>
        <v>0</v>
      </c>
      <c r="BF56" s="113">
        <f t="shared" si="63"/>
        <v>0</v>
      </c>
      <c r="BG56" s="113">
        <f t="shared" si="63"/>
        <v>0</v>
      </c>
      <c r="BH56" s="113">
        <f t="shared" si="63"/>
        <v>0</v>
      </c>
      <c r="BI56" s="113">
        <f t="shared" si="63"/>
        <v>0</v>
      </c>
      <c r="BJ56" s="113">
        <f t="shared" si="63"/>
        <v>0</v>
      </c>
      <c r="BK56" s="113">
        <f t="shared" si="63"/>
        <v>0</v>
      </c>
      <c r="BL56" s="113">
        <f t="shared" si="63"/>
        <v>0</v>
      </c>
      <c r="BM56" s="113">
        <f t="shared" si="63"/>
        <v>0</v>
      </c>
      <c r="BN56" s="113">
        <f t="shared" si="63"/>
        <v>0</v>
      </c>
      <c r="BO56" s="113">
        <f t="shared" si="63"/>
        <v>0</v>
      </c>
      <c r="BP56" s="113">
        <f t="shared" si="63"/>
        <v>0</v>
      </c>
      <c r="BQ56" s="113">
        <f t="shared" si="54"/>
        <v>0</v>
      </c>
      <c r="BR56" s="113">
        <f t="shared" si="54"/>
        <v>0</v>
      </c>
      <c r="BS56" s="113">
        <f t="shared" si="47"/>
        <v>0</v>
      </c>
      <c r="BT56" s="113">
        <f t="shared" si="48"/>
        <v>0</v>
      </c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08">
        <f t="shared" si="49"/>
      </c>
      <c r="CJ56" s="113"/>
      <c r="CK56" s="113"/>
      <c r="CL56" s="113"/>
      <c r="CM56" s="113"/>
    </row>
    <row r="57" spans="1:91" s="112" customFormat="1" ht="15" customHeight="1">
      <c r="A57" s="103"/>
      <c r="B57" s="104"/>
      <c r="C57" s="471"/>
      <c r="D57" s="106"/>
      <c r="E57" s="107">
        <f t="shared" si="60"/>
      </c>
      <c r="F57" s="108">
        <f t="shared" si="8"/>
      </c>
      <c r="G57" s="109"/>
      <c r="H57" s="110"/>
      <c r="I57" s="486">
        <f t="shared" si="61"/>
        <v>0</v>
      </c>
      <c r="J57" s="486">
        <f t="shared" si="3"/>
        <v>0</v>
      </c>
      <c r="K57" s="486">
        <f t="shared" si="4"/>
        <v>0</v>
      </c>
      <c r="L57" s="111">
        <f t="shared" si="10"/>
        <v>0</v>
      </c>
      <c r="M57" s="176">
        <f t="shared" si="55"/>
        <v>0</v>
      </c>
      <c r="N57" s="177">
        <f t="shared" si="64"/>
        <v>0</v>
      </c>
      <c r="P57" s="306">
        <f t="shared" si="12"/>
        <v>0</v>
      </c>
      <c r="Q57" s="71">
        <f t="shared" si="13"/>
        <v>0</v>
      </c>
      <c r="R57" s="71">
        <f t="shared" si="14"/>
        <v>0</v>
      </c>
      <c r="S57" s="71">
        <f t="shared" si="15"/>
        <v>0</v>
      </c>
      <c r="T57" s="71">
        <f>IF(kontonr&gt;1499,IF(kontonr&lt;1560,$N57),0)+IF(kontonr&gt;(Kontoplan!P$3-1),IF(kontonr&lt;(Kontoplan!P$3+300),$N57,0),0)</f>
        <v>0</v>
      </c>
      <c r="U57" s="71">
        <f t="shared" si="16"/>
        <v>0</v>
      </c>
      <c r="V57" s="71">
        <f t="shared" si="17"/>
        <v>0</v>
      </c>
      <c r="W57" s="71">
        <f t="shared" si="18"/>
        <v>0</v>
      </c>
      <c r="X57" s="71">
        <f t="shared" si="19"/>
        <v>0</v>
      </c>
      <c r="Y57" s="71">
        <f t="shared" si="20"/>
        <v>0</v>
      </c>
      <c r="Z57" s="71">
        <f>IF(kontonr&gt;2399,IF(kontonr&lt;2500,$N57),0)+IF(kontonr&gt;(Kontoplan!$P$4-1),IF(kontonr&lt;(Kontoplan!$P$4+600),$N57,0),0)</f>
        <v>0</v>
      </c>
      <c r="AA57" s="71">
        <f t="shared" si="21"/>
        <v>0</v>
      </c>
      <c r="AB57" s="71">
        <f t="shared" si="22"/>
        <v>0</v>
      </c>
      <c r="AC57" s="71">
        <f t="shared" si="23"/>
        <v>0</v>
      </c>
      <c r="AD57" s="71">
        <f t="shared" si="24"/>
        <v>0</v>
      </c>
      <c r="AE57" s="71">
        <f t="shared" si="25"/>
        <v>0</v>
      </c>
      <c r="AF57" s="306">
        <f t="shared" si="26"/>
        <v>0</v>
      </c>
      <c r="AG57" s="74">
        <f t="shared" si="27"/>
        <v>0</v>
      </c>
      <c r="AH57" s="71">
        <f t="shared" si="28"/>
        <v>0</v>
      </c>
      <c r="AI57" s="71">
        <f t="shared" si="29"/>
        <v>0</v>
      </c>
      <c r="AJ57" s="71">
        <f t="shared" si="56"/>
        <v>0</v>
      </c>
      <c r="AK57" s="71">
        <f t="shared" si="31"/>
        <v>0</v>
      </c>
      <c r="AL57" s="71">
        <f t="shared" si="32"/>
        <v>0</v>
      </c>
      <c r="AM57" s="71">
        <f t="shared" si="57"/>
        <v>0</v>
      </c>
      <c r="AN57" s="71">
        <f t="shared" si="58"/>
        <v>0</v>
      </c>
      <c r="AO57" s="71">
        <f t="shared" si="35"/>
        <v>0</v>
      </c>
      <c r="AP57" s="71">
        <f t="shared" si="36"/>
        <v>0</v>
      </c>
      <c r="AQ57" s="71">
        <f t="shared" si="37"/>
        <v>0</v>
      </c>
      <c r="AR57" s="71">
        <f t="shared" si="38"/>
        <v>0</v>
      </c>
      <c r="AS57" s="71">
        <f t="shared" si="39"/>
        <v>0</v>
      </c>
      <c r="AT57" s="71">
        <f t="shared" si="40"/>
        <v>0</v>
      </c>
      <c r="AU57" s="306">
        <f t="shared" si="41"/>
        <v>0</v>
      </c>
      <c r="AV57" s="71">
        <f t="shared" si="42"/>
        <v>0</v>
      </c>
      <c r="AW57" s="71">
        <f t="shared" si="43"/>
        <v>0</v>
      </c>
      <c r="AX57" s="71">
        <f t="shared" si="44"/>
        <v>0</v>
      </c>
      <c r="AY57" s="113">
        <f t="shared" si="59"/>
        <v>0</v>
      </c>
      <c r="AZ57" s="113">
        <f t="shared" si="65"/>
        <v>0</v>
      </c>
      <c r="BA57" s="113">
        <f t="shared" si="63"/>
        <v>0</v>
      </c>
      <c r="BB57" s="113">
        <f t="shared" si="63"/>
        <v>0</v>
      </c>
      <c r="BC57" s="113">
        <f t="shared" si="63"/>
        <v>0</v>
      </c>
      <c r="BD57" s="113">
        <f t="shared" si="63"/>
        <v>0</v>
      </c>
      <c r="BE57" s="113">
        <f t="shared" si="63"/>
        <v>0</v>
      </c>
      <c r="BF57" s="113">
        <f t="shared" si="63"/>
        <v>0</v>
      </c>
      <c r="BG57" s="113">
        <f t="shared" si="63"/>
        <v>0</v>
      </c>
      <c r="BH57" s="113">
        <f t="shared" si="63"/>
        <v>0</v>
      </c>
      <c r="BI57" s="113">
        <f t="shared" si="63"/>
        <v>0</v>
      </c>
      <c r="BJ57" s="113">
        <f t="shared" si="63"/>
        <v>0</v>
      </c>
      <c r="BK57" s="113">
        <f t="shared" si="63"/>
        <v>0</v>
      </c>
      <c r="BL57" s="113">
        <f t="shared" si="63"/>
        <v>0</v>
      </c>
      <c r="BM57" s="113">
        <f t="shared" si="63"/>
        <v>0</v>
      </c>
      <c r="BN57" s="113">
        <f t="shared" si="63"/>
        <v>0</v>
      </c>
      <c r="BO57" s="113">
        <f t="shared" si="63"/>
        <v>0</v>
      </c>
      <c r="BP57" s="113">
        <f t="shared" si="63"/>
        <v>0</v>
      </c>
      <c r="BQ57" s="113">
        <f t="shared" si="54"/>
        <v>0</v>
      </c>
      <c r="BR57" s="113">
        <f t="shared" si="54"/>
        <v>0</v>
      </c>
      <c r="BS57" s="113">
        <f t="shared" si="47"/>
        <v>0</v>
      </c>
      <c r="BT57" s="113">
        <f t="shared" si="48"/>
        <v>0</v>
      </c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08">
        <f t="shared" si="49"/>
      </c>
      <c r="CJ57" s="113"/>
      <c r="CK57" s="113"/>
      <c r="CL57" s="113"/>
      <c r="CM57" s="113"/>
    </row>
    <row r="58" spans="1:91" s="112" customFormat="1" ht="15" customHeight="1">
      <c r="A58" s="103"/>
      <c r="B58" s="104"/>
      <c r="C58" s="105"/>
      <c r="D58" s="106"/>
      <c r="E58" s="107">
        <f t="shared" si="60"/>
      </c>
      <c r="F58" s="108">
        <f t="shared" si="8"/>
      </c>
      <c r="G58" s="109"/>
      <c r="H58" s="110"/>
      <c r="I58" s="486">
        <f t="shared" si="61"/>
        <v>0</v>
      </c>
      <c r="J58" s="486">
        <f t="shared" si="3"/>
        <v>0</v>
      </c>
      <c r="K58" s="486">
        <f t="shared" si="4"/>
        <v>0</v>
      </c>
      <c r="L58" s="111">
        <f t="shared" si="10"/>
        <v>0</v>
      </c>
      <c r="M58" s="176">
        <f t="shared" si="55"/>
        <v>0</v>
      </c>
      <c r="N58" s="177">
        <f t="shared" si="64"/>
        <v>0</v>
      </c>
      <c r="P58" s="306">
        <f t="shared" si="12"/>
        <v>0</v>
      </c>
      <c r="Q58" s="71">
        <f t="shared" si="13"/>
        <v>0</v>
      </c>
      <c r="R58" s="71">
        <f t="shared" si="14"/>
        <v>0</v>
      </c>
      <c r="S58" s="71">
        <f t="shared" si="15"/>
        <v>0</v>
      </c>
      <c r="T58" s="71">
        <f>IF(kontonr&gt;1499,IF(kontonr&lt;1560,$N58),0)+IF(kontonr&gt;(Kontoplan!P$3-1),IF(kontonr&lt;(Kontoplan!P$3+300),$N58,0),0)</f>
        <v>0</v>
      </c>
      <c r="U58" s="71">
        <f t="shared" si="16"/>
        <v>0</v>
      </c>
      <c r="V58" s="71">
        <f t="shared" si="17"/>
        <v>0</v>
      </c>
      <c r="W58" s="71">
        <f t="shared" si="18"/>
        <v>0</v>
      </c>
      <c r="X58" s="71">
        <f t="shared" si="19"/>
        <v>0</v>
      </c>
      <c r="Y58" s="71">
        <f t="shared" si="20"/>
        <v>0</v>
      </c>
      <c r="Z58" s="71">
        <f>IF(kontonr&gt;2399,IF(kontonr&lt;2500,$N58),0)+IF(kontonr&gt;(Kontoplan!$P$4-1),IF(kontonr&lt;(Kontoplan!$P$4+600),$N58,0),0)</f>
        <v>0</v>
      </c>
      <c r="AA58" s="71">
        <f t="shared" si="21"/>
        <v>0</v>
      </c>
      <c r="AB58" s="71">
        <f t="shared" si="22"/>
        <v>0</v>
      </c>
      <c r="AC58" s="71">
        <f t="shared" si="23"/>
        <v>0</v>
      </c>
      <c r="AD58" s="71">
        <f t="shared" si="24"/>
        <v>0</v>
      </c>
      <c r="AE58" s="71">
        <f t="shared" si="25"/>
        <v>0</v>
      </c>
      <c r="AF58" s="306">
        <f t="shared" si="26"/>
        <v>0</v>
      </c>
      <c r="AG58" s="74">
        <f t="shared" si="27"/>
        <v>0</v>
      </c>
      <c r="AH58" s="71">
        <f t="shared" si="28"/>
        <v>0</v>
      </c>
      <c r="AI58" s="71">
        <f t="shared" si="29"/>
        <v>0</v>
      </c>
      <c r="AJ58" s="71">
        <f t="shared" si="56"/>
        <v>0</v>
      </c>
      <c r="AK58" s="71">
        <f t="shared" si="31"/>
        <v>0</v>
      </c>
      <c r="AL58" s="71">
        <f t="shared" si="32"/>
        <v>0</v>
      </c>
      <c r="AM58" s="71">
        <f t="shared" si="57"/>
        <v>0</v>
      </c>
      <c r="AN58" s="71">
        <f t="shared" si="58"/>
        <v>0</v>
      </c>
      <c r="AO58" s="71">
        <f t="shared" si="35"/>
        <v>0</v>
      </c>
      <c r="AP58" s="71">
        <f t="shared" si="36"/>
        <v>0</v>
      </c>
      <c r="AQ58" s="71">
        <f t="shared" si="37"/>
        <v>0</v>
      </c>
      <c r="AR58" s="71">
        <f t="shared" si="38"/>
        <v>0</v>
      </c>
      <c r="AS58" s="71">
        <f t="shared" si="39"/>
        <v>0</v>
      </c>
      <c r="AT58" s="71">
        <f t="shared" si="40"/>
        <v>0</v>
      </c>
      <c r="AU58" s="306">
        <f t="shared" si="41"/>
        <v>0</v>
      </c>
      <c r="AV58" s="71">
        <f t="shared" si="42"/>
        <v>0</v>
      </c>
      <c r="AW58" s="71">
        <f t="shared" si="43"/>
        <v>0</v>
      </c>
      <c r="AX58" s="71">
        <f t="shared" si="44"/>
        <v>0</v>
      </c>
      <c r="AY58" s="113">
        <f t="shared" si="59"/>
        <v>0</v>
      </c>
      <c r="AZ58" s="113">
        <f t="shared" si="65"/>
        <v>0</v>
      </c>
      <c r="BA58" s="113">
        <f t="shared" si="63"/>
        <v>0</v>
      </c>
      <c r="BB58" s="113">
        <f t="shared" si="63"/>
        <v>0</v>
      </c>
      <c r="BC58" s="113">
        <f t="shared" si="63"/>
        <v>0</v>
      </c>
      <c r="BD58" s="113">
        <f t="shared" si="63"/>
        <v>0</v>
      </c>
      <c r="BE58" s="113">
        <f t="shared" si="63"/>
        <v>0</v>
      </c>
      <c r="BF58" s="113">
        <f t="shared" si="63"/>
        <v>0</v>
      </c>
      <c r="BG58" s="113">
        <f t="shared" si="63"/>
        <v>0</v>
      </c>
      <c r="BH58" s="113">
        <f t="shared" si="63"/>
        <v>0</v>
      </c>
      <c r="BI58" s="113">
        <f t="shared" si="63"/>
        <v>0</v>
      </c>
      <c r="BJ58" s="113">
        <f t="shared" si="63"/>
        <v>0</v>
      </c>
      <c r="BK58" s="113">
        <f t="shared" si="63"/>
        <v>0</v>
      </c>
      <c r="BL58" s="113">
        <f t="shared" si="63"/>
        <v>0</v>
      </c>
      <c r="BM58" s="113">
        <f t="shared" si="63"/>
        <v>0</v>
      </c>
      <c r="BN58" s="113">
        <f t="shared" si="63"/>
        <v>0</v>
      </c>
      <c r="BO58" s="113">
        <f t="shared" si="63"/>
        <v>0</v>
      </c>
      <c r="BP58" s="113">
        <f t="shared" si="63"/>
        <v>0</v>
      </c>
      <c r="BQ58" s="113">
        <f t="shared" si="54"/>
        <v>0</v>
      </c>
      <c r="BR58" s="113">
        <f t="shared" si="54"/>
        <v>0</v>
      </c>
      <c r="BS58" s="113">
        <f t="shared" si="47"/>
        <v>0</v>
      </c>
      <c r="BT58" s="113">
        <f t="shared" si="48"/>
        <v>0</v>
      </c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08">
        <f t="shared" si="49"/>
      </c>
      <c r="CJ58" s="113"/>
      <c r="CK58" s="113"/>
      <c r="CL58" s="113"/>
      <c r="CM58" s="113"/>
    </row>
    <row r="59" spans="1:91" s="112" customFormat="1" ht="15" customHeight="1">
      <c r="A59" s="103"/>
      <c r="B59" s="104"/>
      <c r="C59" s="105"/>
      <c r="D59" s="106"/>
      <c r="E59" s="107">
        <f t="shared" si="60"/>
      </c>
      <c r="F59" s="108">
        <f t="shared" si="8"/>
      </c>
      <c r="G59" s="109"/>
      <c r="H59" s="110"/>
      <c r="I59" s="486">
        <f t="shared" si="61"/>
        <v>0</v>
      </c>
      <c r="J59" s="486">
        <f t="shared" si="3"/>
        <v>0</v>
      </c>
      <c r="K59" s="486">
        <f t="shared" si="4"/>
        <v>0</v>
      </c>
      <c r="L59" s="111">
        <f t="shared" si="10"/>
        <v>0</v>
      </c>
      <c r="M59" s="176">
        <f t="shared" si="55"/>
        <v>0</v>
      </c>
      <c r="N59" s="177">
        <f t="shared" si="64"/>
        <v>0</v>
      </c>
      <c r="P59" s="306">
        <f t="shared" si="12"/>
        <v>0</v>
      </c>
      <c r="Q59" s="71">
        <f t="shared" si="13"/>
        <v>0</v>
      </c>
      <c r="R59" s="71">
        <f t="shared" si="14"/>
        <v>0</v>
      </c>
      <c r="S59" s="71">
        <f t="shared" si="15"/>
        <v>0</v>
      </c>
      <c r="T59" s="71">
        <f>IF(kontonr&gt;1499,IF(kontonr&lt;1560,$N59),0)+IF(kontonr&gt;(Kontoplan!P$3-1),IF(kontonr&lt;(Kontoplan!P$3+300),$N59,0),0)</f>
        <v>0</v>
      </c>
      <c r="U59" s="71">
        <f t="shared" si="16"/>
        <v>0</v>
      </c>
      <c r="V59" s="71">
        <f t="shared" si="17"/>
        <v>0</v>
      </c>
      <c r="W59" s="71">
        <f t="shared" si="18"/>
        <v>0</v>
      </c>
      <c r="X59" s="71">
        <f t="shared" si="19"/>
        <v>0</v>
      </c>
      <c r="Y59" s="71">
        <f t="shared" si="20"/>
        <v>0</v>
      </c>
      <c r="Z59" s="71">
        <f>IF(kontonr&gt;2399,IF(kontonr&lt;2500,$N59),0)+IF(kontonr&gt;(Kontoplan!$P$4-1),IF(kontonr&lt;(Kontoplan!$P$4+600),$N59,0),0)</f>
        <v>0</v>
      </c>
      <c r="AA59" s="71">
        <f t="shared" si="21"/>
        <v>0</v>
      </c>
      <c r="AB59" s="71">
        <f t="shared" si="22"/>
        <v>0</v>
      </c>
      <c r="AC59" s="71">
        <f t="shared" si="23"/>
        <v>0</v>
      </c>
      <c r="AD59" s="71">
        <f t="shared" si="24"/>
        <v>0</v>
      </c>
      <c r="AE59" s="71">
        <f t="shared" si="25"/>
        <v>0</v>
      </c>
      <c r="AF59" s="306">
        <f t="shared" si="26"/>
        <v>0</v>
      </c>
      <c r="AG59" s="74">
        <f t="shared" si="27"/>
        <v>0</v>
      </c>
      <c r="AH59" s="71">
        <f t="shared" si="28"/>
        <v>0</v>
      </c>
      <c r="AI59" s="71">
        <f t="shared" si="29"/>
        <v>0</v>
      </c>
      <c r="AJ59" s="71">
        <f t="shared" si="56"/>
        <v>0</v>
      </c>
      <c r="AK59" s="71">
        <f t="shared" si="31"/>
        <v>0</v>
      </c>
      <c r="AL59" s="71">
        <f t="shared" si="32"/>
        <v>0</v>
      </c>
      <c r="AM59" s="71">
        <f t="shared" si="57"/>
        <v>0</v>
      </c>
      <c r="AN59" s="71">
        <f t="shared" si="58"/>
        <v>0</v>
      </c>
      <c r="AO59" s="71">
        <f t="shared" si="35"/>
        <v>0</v>
      </c>
      <c r="AP59" s="71">
        <f t="shared" si="36"/>
        <v>0</v>
      </c>
      <c r="AQ59" s="71">
        <f t="shared" si="37"/>
        <v>0</v>
      </c>
      <c r="AR59" s="71">
        <f t="shared" si="38"/>
        <v>0</v>
      </c>
      <c r="AS59" s="71">
        <f t="shared" si="39"/>
        <v>0</v>
      </c>
      <c r="AT59" s="71">
        <f t="shared" si="40"/>
        <v>0</v>
      </c>
      <c r="AU59" s="306">
        <f t="shared" si="41"/>
        <v>0</v>
      </c>
      <c r="AV59" s="71">
        <f t="shared" si="42"/>
        <v>0</v>
      </c>
      <c r="AW59" s="71">
        <f t="shared" si="43"/>
        <v>0</v>
      </c>
      <c r="AX59" s="71">
        <f t="shared" si="44"/>
        <v>0</v>
      </c>
      <c r="AY59" s="113">
        <f t="shared" si="59"/>
        <v>0</v>
      </c>
      <c r="AZ59" s="113">
        <f t="shared" si="65"/>
        <v>0</v>
      </c>
      <c r="BA59" s="113">
        <f t="shared" si="63"/>
        <v>0</v>
      </c>
      <c r="BB59" s="113">
        <f t="shared" si="63"/>
        <v>0</v>
      </c>
      <c r="BC59" s="113">
        <f t="shared" si="63"/>
        <v>0</v>
      </c>
      <c r="BD59" s="113">
        <f t="shared" si="63"/>
        <v>0</v>
      </c>
      <c r="BE59" s="113">
        <f t="shared" si="63"/>
        <v>0</v>
      </c>
      <c r="BF59" s="113">
        <f t="shared" si="63"/>
        <v>0</v>
      </c>
      <c r="BG59" s="113">
        <f t="shared" si="63"/>
        <v>0</v>
      </c>
      <c r="BH59" s="113">
        <f t="shared" si="63"/>
        <v>0</v>
      </c>
      <c r="BI59" s="113">
        <f t="shared" si="63"/>
        <v>0</v>
      </c>
      <c r="BJ59" s="113">
        <f t="shared" si="63"/>
        <v>0</v>
      </c>
      <c r="BK59" s="113">
        <f t="shared" si="63"/>
        <v>0</v>
      </c>
      <c r="BL59" s="113">
        <f t="shared" si="63"/>
        <v>0</v>
      </c>
      <c r="BM59" s="113">
        <f t="shared" si="63"/>
        <v>0</v>
      </c>
      <c r="BN59" s="113">
        <f t="shared" si="63"/>
        <v>0</v>
      </c>
      <c r="BO59" s="113">
        <f t="shared" si="63"/>
        <v>0</v>
      </c>
      <c r="BP59" s="113">
        <f t="shared" si="63"/>
        <v>0</v>
      </c>
      <c r="BQ59" s="113">
        <f t="shared" si="54"/>
        <v>0</v>
      </c>
      <c r="BR59" s="113">
        <f t="shared" si="54"/>
        <v>0</v>
      </c>
      <c r="BS59" s="113">
        <f t="shared" si="47"/>
        <v>0</v>
      </c>
      <c r="BT59" s="113">
        <f t="shared" si="48"/>
        <v>0</v>
      </c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08">
        <f t="shared" si="49"/>
      </c>
      <c r="CJ59" s="113"/>
      <c r="CK59" s="113"/>
      <c r="CL59" s="113"/>
      <c r="CM59" s="113"/>
    </row>
    <row r="60" spans="1:91" s="112" customFormat="1" ht="15" customHeight="1">
      <c r="A60" s="103"/>
      <c r="B60" s="104"/>
      <c r="C60" s="471"/>
      <c r="D60" s="106"/>
      <c r="E60" s="107">
        <f t="shared" si="60"/>
      </c>
      <c r="F60" s="108">
        <f t="shared" si="8"/>
      </c>
      <c r="G60" s="109"/>
      <c r="H60" s="110"/>
      <c r="I60" s="486">
        <f t="shared" si="61"/>
        <v>0</v>
      </c>
      <c r="J60" s="486">
        <f t="shared" si="3"/>
        <v>0</v>
      </c>
      <c r="K60" s="486">
        <f t="shared" si="4"/>
        <v>0</v>
      </c>
      <c r="L60" s="111">
        <f t="shared" si="10"/>
        <v>0</v>
      </c>
      <c r="M60" s="176">
        <f t="shared" si="55"/>
        <v>0</v>
      </c>
      <c r="N60" s="177">
        <f t="shared" si="64"/>
        <v>0</v>
      </c>
      <c r="P60" s="306">
        <f t="shared" si="12"/>
        <v>0</v>
      </c>
      <c r="Q60" s="71">
        <f t="shared" si="13"/>
        <v>0</v>
      </c>
      <c r="R60" s="71">
        <f t="shared" si="14"/>
        <v>0</v>
      </c>
      <c r="S60" s="71">
        <f t="shared" si="15"/>
        <v>0</v>
      </c>
      <c r="T60" s="71">
        <f>IF(kontonr&gt;1499,IF(kontonr&lt;1560,$N60),0)+IF(kontonr&gt;(Kontoplan!P$3-1),IF(kontonr&lt;(Kontoplan!P$3+300),$N60,0),0)</f>
        <v>0</v>
      </c>
      <c r="U60" s="71">
        <f t="shared" si="16"/>
        <v>0</v>
      </c>
      <c r="V60" s="71">
        <f t="shared" si="17"/>
        <v>0</v>
      </c>
      <c r="W60" s="71">
        <f t="shared" si="18"/>
        <v>0</v>
      </c>
      <c r="X60" s="71">
        <f t="shared" si="19"/>
        <v>0</v>
      </c>
      <c r="Y60" s="71">
        <f t="shared" si="20"/>
        <v>0</v>
      </c>
      <c r="Z60" s="71">
        <f>IF(kontonr&gt;2399,IF(kontonr&lt;2500,$N60),0)+IF(kontonr&gt;(Kontoplan!$P$4-1),IF(kontonr&lt;(Kontoplan!$P$4+600),$N60,0),0)</f>
        <v>0</v>
      </c>
      <c r="AA60" s="71">
        <f t="shared" si="21"/>
        <v>0</v>
      </c>
      <c r="AB60" s="71">
        <f t="shared" si="22"/>
        <v>0</v>
      </c>
      <c r="AC60" s="71">
        <f t="shared" si="23"/>
        <v>0</v>
      </c>
      <c r="AD60" s="71">
        <f t="shared" si="24"/>
        <v>0</v>
      </c>
      <c r="AE60" s="71">
        <f t="shared" si="25"/>
        <v>0</v>
      </c>
      <c r="AF60" s="306">
        <f t="shared" si="26"/>
        <v>0</v>
      </c>
      <c r="AG60" s="74">
        <f t="shared" si="27"/>
        <v>0</v>
      </c>
      <c r="AH60" s="71">
        <f t="shared" si="28"/>
        <v>0</v>
      </c>
      <c r="AI60" s="71">
        <f t="shared" si="29"/>
        <v>0</v>
      </c>
      <c r="AJ60" s="71">
        <f t="shared" si="56"/>
        <v>0</v>
      </c>
      <c r="AK60" s="71">
        <f t="shared" si="31"/>
        <v>0</v>
      </c>
      <c r="AL60" s="71">
        <f t="shared" si="32"/>
        <v>0</v>
      </c>
      <c r="AM60" s="71">
        <f t="shared" si="57"/>
        <v>0</v>
      </c>
      <c r="AN60" s="71">
        <f t="shared" si="58"/>
        <v>0</v>
      </c>
      <c r="AO60" s="71">
        <f t="shared" si="35"/>
        <v>0</v>
      </c>
      <c r="AP60" s="71">
        <f t="shared" si="36"/>
        <v>0</v>
      </c>
      <c r="AQ60" s="71">
        <f t="shared" si="37"/>
        <v>0</v>
      </c>
      <c r="AR60" s="71">
        <f t="shared" si="38"/>
        <v>0</v>
      </c>
      <c r="AS60" s="71">
        <f t="shared" si="39"/>
        <v>0</v>
      </c>
      <c r="AT60" s="71">
        <f t="shared" si="40"/>
        <v>0</v>
      </c>
      <c r="AU60" s="306">
        <f t="shared" si="41"/>
        <v>0</v>
      </c>
      <c r="AV60" s="71">
        <f t="shared" si="42"/>
        <v>0</v>
      </c>
      <c r="AW60" s="71">
        <f t="shared" si="43"/>
        <v>0</v>
      </c>
      <c r="AX60" s="71">
        <f t="shared" si="44"/>
        <v>0</v>
      </c>
      <c r="AY60" s="113">
        <f t="shared" si="59"/>
        <v>0</v>
      </c>
      <c r="AZ60" s="113">
        <f t="shared" si="65"/>
        <v>0</v>
      </c>
      <c r="BA60" s="113">
        <f t="shared" si="63"/>
        <v>0</v>
      </c>
      <c r="BB60" s="113">
        <f t="shared" si="63"/>
        <v>0</v>
      </c>
      <c r="BC60" s="113">
        <f t="shared" si="63"/>
        <v>0</v>
      </c>
      <c r="BD60" s="113">
        <f t="shared" si="63"/>
        <v>0</v>
      </c>
      <c r="BE60" s="113">
        <f t="shared" si="63"/>
        <v>0</v>
      </c>
      <c r="BF60" s="113">
        <f t="shared" si="63"/>
        <v>0</v>
      </c>
      <c r="BG60" s="113">
        <f t="shared" si="63"/>
        <v>0</v>
      </c>
      <c r="BH60" s="113">
        <f t="shared" si="63"/>
        <v>0</v>
      </c>
      <c r="BI60" s="113">
        <f t="shared" si="63"/>
        <v>0</v>
      </c>
      <c r="BJ60" s="113">
        <f t="shared" si="63"/>
        <v>0</v>
      </c>
      <c r="BK60" s="113">
        <f t="shared" si="63"/>
        <v>0</v>
      </c>
      <c r="BL60" s="113">
        <f t="shared" si="63"/>
        <v>0</v>
      </c>
      <c r="BM60" s="113">
        <f t="shared" si="63"/>
        <v>0</v>
      </c>
      <c r="BN60" s="113">
        <f t="shared" si="63"/>
        <v>0</v>
      </c>
      <c r="BO60" s="113">
        <f t="shared" si="63"/>
        <v>0</v>
      </c>
      <c r="BP60" s="113">
        <f t="shared" si="63"/>
        <v>0</v>
      </c>
      <c r="BQ60" s="113">
        <f t="shared" si="54"/>
        <v>0</v>
      </c>
      <c r="BR60" s="113">
        <f t="shared" si="54"/>
        <v>0</v>
      </c>
      <c r="BS60" s="113">
        <f t="shared" si="47"/>
        <v>0</v>
      </c>
      <c r="BT60" s="113">
        <f t="shared" si="48"/>
        <v>0</v>
      </c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08">
        <f t="shared" si="49"/>
      </c>
      <c r="CJ60" s="113"/>
      <c r="CK60" s="113"/>
      <c r="CL60" s="113"/>
      <c r="CM60" s="113"/>
    </row>
    <row r="61" spans="1:91" s="112" customFormat="1" ht="15" customHeight="1">
      <c r="A61" s="103"/>
      <c r="B61" s="104"/>
      <c r="C61" s="471"/>
      <c r="D61" s="106"/>
      <c r="E61" s="107">
        <f t="shared" si="60"/>
      </c>
      <c r="F61" s="108">
        <f t="shared" si="8"/>
      </c>
      <c r="G61" s="109"/>
      <c r="H61" s="110"/>
      <c r="I61" s="486">
        <f t="shared" si="61"/>
        <v>0</v>
      </c>
      <c r="J61" s="486">
        <f t="shared" si="3"/>
        <v>0</v>
      </c>
      <c r="K61" s="486">
        <f t="shared" si="4"/>
        <v>0</v>
      </c>
      <c r="L61" s="111">
        <f t="shared" si="10"/>
        <v>0</v>
      </c>
      <c r="M61" s="176">
        <f t="shared" si="55"/>
        <v>0</v>
      </c>
      <c r="N61" s="177">
        <f t="shared" si="64"/>
        <v>0</v>
      </c>
      <c r="P61" s="306">
        <f t="shared" si="12"/>
        <v>0</v>
      </c>
      <c r="Q61" s="71">
        <f t="shared" si="13"/>
        <v>0</v>
      </c>
      <c r="R61" s="71">
        <f t="shared" si="14"/>
        <v>0</v>
      </c>
      <c r="S61" s="71">
        <f t="shared" si="15"/>
        <v>0</v>
      </c>
      <c r="T61" s="71">
        <f>IF(kontonr&gt;1499,IF(kontonr&lt;1560,$N61),0)+IF(kontonr&gt;(Kontoplan!P$3-1),IF(kontonr&lt;(Kontoplan!P$3+300),$N61,0),0)</f>
        <v>0</v>
      </c>
      <c r="U61" s="71">
        <f t="shared" si="16"/>
        <v>0</v>
      </c>
      <c r="V61" s="71">
        <f t="shared" si="17"/>
        <v>0</v>
      </c>
      <c r="W61" s="71">
        <f t="shared" si="18"/>
        <v>0</v>
      </c>
      <c r="X61" s="71">
        <f t="shared" si="19"/>
        <v>0</v>
      </c>
      <c r="Y61" s="71">
        <f t="shared" si="20"/>
        <v>0</v>
      </c>
      <c r="Z61" s="71">
        <f>IF(kontonr&gt;2399,IF(kontonr&lt;2500,$N61),0)+IF(kontonr&gt;(Kontoplan!$P$4-1),IF(kontonr&lt;(Kontoplan!$P$4+600),$N61,0),0)</f>
        <v>0</v>
      </c>
      <c r="AA61" s="71">
        <f t="shared" si="21"/>
        <v>0</v>
      </c>
      <c r="AB61" s="71">
        <f t="shared" si="22"/>
        <v>0</v>
      </c>
      <c r="AC61" s="71">
        <f t="shared" si="23"/>
        <v>0</v>
      </c>
      <c r="AD61" s="71">
        <f t="shared" si="24"/>
        <v>0</v>
      </c>
      <c r="AE61" s="71">
        <f t="shared" si="25"/>
        <v>0</v>
      </c>
      <c r="AF61" s="306">
        <f t="shared" si="26"/>
        <v>0</v>
      </c>
      <c r="AG61" s="74">
        <f t="shared" si="27"/>
        <v>0</v>
      </c>
      <c r="AH61" s="71">
        <f t="shared" si="28"/>
        <v>0</v>
      </c>
      <c r="AI61" s="71">
        <f t="shared" si="29"/>
        <v>0</v>
      </c>
      <c r="AJ61" s="71">
        <f t="shared" si="56"/>
        <v>0</v>
      </c>
      <c r="AK61" s="71">
        <f t="shared" si="31"/>
        <v>0</v>
      </c>
      <c r="AL61" s="71">
        <f t="shared" si="32"/>
        <v>0</v>
      </c>
      <c r="AM61" s="71">
        <f t="shared" si="57"/>
        <v>0</v>
      </c>
      <c r="AN61" s="71">
        <f t="shared" si="58"/>
        <v>0</v>
      </c>
      <c r="AO61" s="71">
        <f t="shared" si="35"/>
        <v>0</v>
      </c>
      <c r="AP61" s="71">
        <f t="shared" si="36"/>
        <v>0</v>
      </c>
      <c r="AQ61" s="71">
        <f t="shared" si="37"/>
        <v>0</v>
      </c>
      <c r="AR61" s="71">
        <f t="shared" si="38"/>
        <v>0</v>
      </c>
      <c r="AS61" s="71">
        <f t="shared" si="39"/>
        <v>0</v>
      </c>
      <c r="AT61" s="71">
        <f t="shared" si="40"/>
        <v>0</v>
      </c>
      <c r="AU61" s="306">
        <f t="shared" si="41"/>
        <v>0</v>
      </c>
      <c r="AV61" s="71">
        <f t="shared" si="42"/>
        <v>0</v>
      </c>
      <c r="AW61" s="71">
        <f t="shared" si="43"/>
        <v>0</v>
      </c>
      <c r="AX61" s="71">
        <f t="shared" si="44"/>
        <v>0</v>
      </c>
      <c r="AY61" s="113">
        <f t="shared" si="59"/>
        <v>0</v>
      </c>
      <c r="AZ61" s="113">
        <f t="shared" si="65"/>
        <v>0</v>
      </c>
      <c r="BA61" s="113">
        <f t="shared" si="63"/>
        <v>0</v>
      </c>
      <c r="BB61" s="113">
        <f t="shared" si="63"/>
        <v>0</v>
      </c>
      <c r="BC61" s="113">
        <f t="shared" si="63"/>
        <v>0</v>
      </c>
      <c r="BD61" s="113">
        <f t="shared" si="63"/>
        <v>0</v>
      </c>
      <c r="BE61" s="113">
        <f t="shared" si="63"/>
        <v>0</v>
      </c>
      <c r="BF61" s="113">
        <f t="shared" si="63"/>
        <v>0</v>
      </c>
      <c r="BG61" s="113">
        <f t="shared" si="63"/>
        <v>0</v>
      </c>
      <c r="BH61" s="113">
        <f t="shared" si="63"/>
        <v>0</v>
      </c>
      <c r="BI61" s="113">
        <f t="shared" si="63"/>
        <v>0</v>
      </c>
      <c r="BJ61" s="113">
        <f t="shared" si="63"/>
        <v>0</v>
      </c>
      <c r="BK61" s="113">
        <f t="shared" si="63"/>
        <v>0</v>
      </c>
      <c r="BL61" s="113">
        <f t="shared" si="63"/>
        <v>0</v>
      </c>
      <c r="BM61" s="113">
        <f t="shared" si="63"/>
        <v>0</v>
      </c>
      <c r="BN61" s="113">
        <f t="shared" si="63"/>
        <v>0</v>
      </c>
      <c r="BO61" s="113">
        <f t="shared" si="63"/>
        <v>0</v>
      </c>
      <c r="BP61" s="113">
        <f t="shared" si="63"/>
        <v>0</v>
      </c>
      <c r="BQ61" s="113">
        <f t="shared" si="54"/>
        <v>0</v>
      </c>
      <c r="BR61" s="113">
        <f t="shared" si="54"/>
        <v>0</v>
      </c>
      <c r="BS61" s="113">
        <f t="shared" si="47"/>
        <v>0</v>
      </c>
      <c r="BT61" s="113">
        <f t="shared" si="48"/>
        <v>0</v>
      </c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08">
        <f t="shared" si="49"/>
      </c>
      <c r="CJ61" s="113"/>
      <c r="CK61" s="113"/>
      <c r="CL61" s="113"/>
      <c r="CM61" s="113"/>
    </row>
    <row r="62" spans="1:91" s="112" customFormat="1" ht="15" customHeight="1">
      <c r="A62" s="103"/>
      <c r="B62" s="104"/>
      <c r="C62" s="105"/>
      <c r="D62" s="106"/>
      <c r="E62" s="107">
        <f t="shared" si="60"/>
      </c>
      <c r="F62" s="108">
        <f t="shared" si="8"/>
      </c>
      <c r="G62" s="109"/>
      <c r="H62" s="110"/>
      <c r="I62" s="486">
        <f t="shared" si="61"/>
        <v>0</v>
      </c>
      <c r="J62" s="486">
        <f t="shared" si="3"/>
        <v>0</v>
      </c>
      <c r="K62" s="486">
        <f t="shared" si="4"/>
        <v>0</v>
      </c>
      <c r="L62" s="111">
        <f t="shared" si="10"/>
        <v>0</v>
      </c>
      <c r="M62" s="176">
        <f t="shared" si="55"/>
        <v>0</v>
      </c>
      <c r="N62" s="177">
        <f t="shared" si="64"/>
        <v>0</v>
      </c>
      <c r="P62" s="306">
        <f t="shared" si="12"/>
        <v>0</v>
      </c>
      <c r="Q62" s="71">
        <f t="shared" si="13"/>
        <v>0</v>
      </c>
      <c r="R62" s="71">
        <f t="shared" si="14"/>
        <v>0</v>
      </c>
      <c r="S62" s="71">
        <f t="shared" si="15"/>
        <v>0</v>
      </c>
      <c r="T62" s="71">
        <f>IF(kontonr&gt;1499,IF(kontonr&lt;1560,$N62),0)+IF(kontonr&gt;(Kontoplan!P$3-1),IF(kontonr&lt;(Kontoplan!P$3+300),$N62,0),0)</f>
        <v>0</v>
      </c>
      <c r="U62" s="71">
        <f t="shared" si="16"/>
        <v>0</v>
      </c>
      <c r="V62" s="71">
        <f t="shared" si="17"/>
        <v>0</v>
      </c>
      <c r="W62" s="71">
        <f t="shared" si="18"/>
        <v>0</v>
      </c>
      <c r="X62" s="71">
        <f t="shared" si="19"/>
        <v>0</v>
      </c>
      <c r="Y62" s="71">
        <f t="shared" si="20"/>
        <v>0</v>
      </c>
      <c r="Z62" s="71">
        <f>IF(kontonr&gt;2399,IF(kontonr&lt;2500,$N62),0)+IF(kontonr&gt;(Kontoplan!$P$4-1),IF(kontonr&lt;(Kontoplan!$P$4+600),$N62,0),0)</f>
        <v>0</v>
      </c>
      <c r="AA62" s="71">
        <f t="shared" si="21"/>
        <v>0</v>
      </c>
      <c r="AB62" s="71">
        <f t="shared" si="22"/>
        <v>0</v>
      </c>
      <c r="AC62" s="71">
        <f t="shared" si="23"/>
        <v>0</v>
      </c>
      <c r="AD62" s="71">
        <f t="shared" si="24"/>
        <v>0</v>
      </c>
      <c r="AE62" s="71">
        <f t="shared" si="25"/>
        <v>0</v>
      </c>
      <c r="AF62" s="306">
        <f t="shared" si="26"/>
        <v>0</v>
      </c>
      <c r="AG62" s="74">
        <f t="shared" si="27"/>
        <v>0</v>
      </c>
      <c r="AH62" s="71">
        <f t="shared" si="28"/>
        <v>0</v>
      </c>
      <c r="AI62" s="71">
        <f t="shared" si="29"/>
        <v>0</v>
      </c>
      <c r="AJ62" s="71">
        <f t="shared" si="56"/>
        <v>0</v>
      </c>
      <c r="AK62" s="71">
        <f t="shared" si="31"/>
        <v>0</v>
      </c>
      <c r="AL62" s="71">
        <f t="shared" si="32"/>
        <v>0</v>
      </c>
      <c r="AM62" s="71">
        <f t="shared" si="57"/>
        <v>0</v>
      </c>
      <c r="AN62" s="71">
        <f t="shared" si="58"/>
        <v>0</v>
      </c>
      <c r="AO62" s="71">
        <f t="shared" si="35"/>
        <v>0</v>
      </c>
      <c r="AP62" s="71">
        <f t="shared" si="36"/>
        <v>0</v>
      </c>
      <c r="AQ62" s="71">
        <f t="shared" si="37"/>
        <v>0</v>
      </c>
      <c r="AR62" s="71">
        <f t="shared" si="38"/>
        <v>0</v>
      </c>
      <c r="AS62" s="71">
        <f t="shared" si="39"/>
        <v>0</v>
      </c>
      <c r="AT62" s="71">
        <f t="shared" si="40"/>
        <v>0</v>
      </c>
      <c r="AU62" s="306">
        <f t="shared" si="41"/>
        <v>0</v>
      </c>
      <c r="AV62" s="71">
        <f t="shared" si="42"/>
        <v>0</v>
      </c>
      <c r="AW62" s="71">
        <f t="shared" si="43"/>
        <v>0</v>
      </c>
      <c r="AX62" s="71">
        <f t="shared" si="44"/>
        <v>0</v>
      </c>
      <c r="AY62" s="113">
        <f t="shared" si="59"/>
        <v>0</v>
      </c>
      <c r="AZ62" s="113">
        <f t="shared" si="65"/>
        <v>0</v>
      </c>
      <c r="BA62" s="113">
        <f t="shared" si="63"/>
        <v>0</v>
      </c>
      <c r="BB62" s="113">
        <f t="shared" si="63"/>
        <v>0</v>
      </c>
      <c r="BC62" s="113">
        <f t="shared" si="63"/>
        <v>0</v>
      </c>
      <c r="BD62" s="113">
        <f t="shared" si="63"/>
        <v>0</v>
      </c>
      <c r="BE62" s="113">
        <f t="shared" si="63"/>
        <v>0</v>
      </c>
      <c r="BF62" s="113">
        <f t="shared" si="63"/>
        <v>0</v>
      </c>
      <c r="BG62" s="113">
        <f t="shared" si="63"/>
        <v>0</v>
      </c>
      <c r="BH62" s="113">
        <f t="shared" si="63"/>
        <v>0</v>
      </c>
      <c r="BI62" s="113">
        <f t="shared" si="63"/>
        <v>0</v>
      </c>
      <c r="BJ62" s="113">
        <f t="shared" si="63"/>
        <v>0</v>
      </c>
      <c r="BK62" s="113">
        <f t="shared" si="63"/>
        <v>0</v>
      </c>
      <c r="BL62" s="113">
        <f t="shared" si="63"/>
        <v>0</v>
      </c>
      <c r="BM62" s="113">
        <f t="shared" si="63"/>
        <v>0</v>
      </c>
      <c r="BN62" s="113">
        <f t="shared" si="63"/>
        <v>0</v>
      </c>
      <c r="BO62" s="113">
        <f t="shared" si="63"/>
        <v>0</v>
      </c>
      <c r="BP62" s="113">
        <f t="shared" si="63"/>
        <v>0</v>
      </c>
      <c r="BQ62" s="113">
        <f t="shared" si="54"/>
        <v>0</v>
      </c>
      <c r="BR62" s="113">
        <f t="shared" si="54"/>
        <v>0</v>
      </c>
      <c r="BS62" s="113">
        <f t="shared" si="47"/>
        <v>0</v>
      </c>
      <c r="BT62" s="113">
        <f t="shared" si="48"/>
        <v>0</v>
      </c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08">
        <f t="shared" si="49"/>
      </c>
      <c r="CJ62" s="113"/>
      <c r="CK62" s="113"/>
      <c r="CL62" s="113"/>
      <c r="CM62" s="113"/>
    </row>
    <row r="63" spans="1:91" s="112" customFormat="1" ht="15" customHeight="1">
      <c r="A63" s="103"/>
      <c r="B63" s="104"/>
      <c r="C63" s="105"/>
      <c r="D63" s="106"/>
      <c r="E63" s="107">
        <f t="shared" si="60"/>
      </c>
      <c r="F63" s="108">
        <f t="shared" si="8"/>
      </c>
      <c r="G63" s="109"/>
      <c r="H63" s="110"/>
      <c r="I63" s="486">
        <f t="shared" si="61"/>
        <v>0</v>
      </c>
      <c r="J63" s="486">
        <f t="shared" si="3"/>
        <v>0</v>
      </c>
      <c r="K63" s="486">
        <f t="shared" si="4"/>
        <v>0</v>
      </c>
      <c r="L63" s="111">
        <f t="shared" si="10"/>
        <v>0</v>
      </c>
      <c r="M63" s="176">
        <f t="shared" si="55"/>
        <v>0</v>
      </c>
      <c r="N63" s="177">
        <f t="shared" si="64"/>
        <v>0</v>
      </c>
      <c r="P63" s="306">
        <f t="shared" si="12"/>
        <v>0</v>
      </c>
      <c r="Q63" s="71">
        <f t="shared" si="13"/>
        <v>0</v>
      </c>
      <c r="R63" s="71">
        <f t="shared" si="14"/>
        <v>0</v>
      </c>
      <c r="S63" s="71">
        <f t="shared" si="15"/>
        <v>0</v>
      </c>
      <c r="T63" s="71">
        <f>IF(kontonr&gt;1499,IF(kontonr&lt;1560,$N63),0)+IF(kontonr&gt;(Kontoplan!P$3-1),IF(kontonr&lt;(Kontoplan!P$3+300),$N63,0),0)</f>
        <v>0</v>
      </c>
      <c r="U63" s="71">
        <f t="shared" si="16"/>
        <v>0</v>
      </c>
      <c r="V63" s="71">
        <f t="shared" si="17"/>
        <v>0</v>
      </c>
      <c r="W63" s="71">
        <f t="shared" si="18"/>
        <v>0</v>
      </c>
      <c r="X63" s="71">
        <f t="shared" si="19"/>
        <v>0</v>
      </c>
      <c r="Y63" s="71">
        <f t="shared" si="20"/>
        <v>0</v>
      </c>
      <c r="Z63" s="71">
        <f>IF(kontonr&gt;2399,IF(kontonr&lt;2500,$N63),0)+IF(kontonr&gt;(Kontoplan!$P$4-1),IF(kontonr&lt;(Kontoplan!$P$4+600),$N63,0),0)</f>
        <v>0</v>
      </c>
      <c r="AA63" s="71">
        <f t="shared" si="21"/>
        <v>0</v>
      </c>
      <c r="AB63" s="71">
        <f t="shared" si="22"/>
        <v>0</v>
      </c>
      <c r="AC63" s="71">
        <f t="shared" si="23"/>
        <v>0</v>
      </c>
      <c r="AD63" s="71">
        <f t="shared" si="24"/>
        <v>0</v>
      </c>
      <c r="AE63" s="71">
        <f t="shared" si="25"/>
        <v>0</v>
      </c>
      <c r="AF63" s="306">
        <f t="shared" si="26"/>
        <v>0</v>
      </c>
      <c r="AG63" s="74">
        <f t="shared" si="27"/>
        <v>0</v>
      </c>
      <c r="AH63" s="71">
        <f t="shared" si="28"/>
        <v>0</v>
      </c>
      <c r="AI63" s="71">
        <f t="shared" si="29"/>
        <v>0</v>
      </c>
      <c r="AJ63" s="71">
        <f t="shared" si="56"/>
        <v>0</v>
      </c>
      <c r="AK63" s="71">
        <f t="shared" si="31"/>
        <v>0</v>
      </c>
      <c r="AL63" s="71">
        <f t="shared" si="32"/>
        <v>0</v>
      </c>
      <c r="AM63" s="71">
        <f t="shared" si="57"/>
        <v>0</v>
      </c>
      <c r="AN63" s="71">
        <f t="shared" si="58"/>
        <v>0</v>
      </c>
      <c r="AO63" s="71">
        <f t="shared" si="35"/>
        <v>0</v>
      </c>
      <c r="AP63" s="71">
        <f t="shared" si="36"/>
        <v>0</v>
      </c>
      <c r="AQ63" s="71">
        <f t="shared" si="37"/>
        <v>0</v>
      </c>
      <c r="AR63" s="71">
        <f t="shared" si="38"/>
        <v>0</v>
      </c>
      <c r="AS63" s="71">
        <f t="shared" si="39"/>
        <v>0</v>
      </c>
      <c r="AT63" s="71">
        <f t="shared" si="40"/>
        <v>0</v>
      </c>
      <c r="AU63" s="306">
        <f t="shared" si="41"/>
        <v>0</v>
      </c>
      <c r="AV63" s="71">
        <f t="shared" si="42"/>
        <v>0</v>
      </c>
      <c r="AW63" s="71">
        <f t="shared" si="43"/>
        <v>0</v>
      </c>
      <c r="AX63" s="71">
        <f t="shared" si="44"/>
        <v>0</v>
      </c>
      <c r="AY63" s="113">
        <f t="shared" si="59"/>
        <v>0</v>
      </c>
      <c r="AZ63" s="113">
        <f t="shared" si="65"/>
        <v>0</v>
      </c>
      <c r="BA63" s="113">
        <f t="shared" si="63"/>
        <v>0</v>
      </c>
      <c r="BB63" s="113">
        <f t="shared" si="63"/>
        <v>0</v>
      </c>
      <c r="BC63" s="113">
        <f t="shared" si="63"/>
        <v>0</v>
      </c>
      <c r="BD63" s="113">
        <f t="shared" si="63"/>
        <v>0</v>
      </c>
      <c r="BE63" s="113">
        <f t="shared" si="63"/>
        <v>0</v>
      </c>
      <c r="BF63" s="113">
        <f t="shared" si="63"/>
        <v>0</v>
      </c>
      <c r="BG63" s="113">
        <f t="shared" si="63"/>
        <v>0</v>
      </c>
      <c r="BH63" s="113">
        <f t="shared" si="63"/>
        <v>0</v>
      </c>
      <c r="BI63" s="113">
        <f t="shared" si="63"/>
        <v>0</v>
      </c>
      <c r="BJ63" s="113">
        <f t="shared" si="63"/>
        <v>0</v>
      </c>
      <c r="BK63" s="113">
        <f t="shared" si="63"/>
        <v>0</v>
      </c>
      <c r="BL63" s="113">
        <f t="shared" si="63"/>
        <v>0</v>
      </c>
      <c r="BM63" s="113">
        <f t="shared" si="63"/>
        <v>0</v>
      </c>
      <c r="BN63" s="113">
        <f aca="true" t="shared" si="68" ref="BN63:BP79">IF(kontonr=BN$5,$N63,0)</f>
        <v>0</v>
      </c>
      <c r="BO63" s="113">
        <f t="shared" si="68"/>
        <v>0</v>
      </c>
      <c r="BP63" s="113">
        <f t="shared" si="68"/>
        <v>0</v>
      </c>
      <c r="BQ63" s="113">
        <f t="shared" si="54"/>
        <v>0</v>
      </c>
      <c r="BR63" s="113">
        <f t="shared" si="54"/>
        <v>0</v>
      </c>
      <c r="BS63" s="113">
        <f t="shared" si="47"/>
        <v>0</v>
      </c>
      <c r="BT63" s="113">
        <f t="shared" si="48"/>
        <v>0</v>
      </c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08">
        <f t="shared" si="49"/>
      </c>
      <c r="CJ63" s="113"/>
      <c r="CK63" s="113"/>
      <c r="CL63" s="113"/>
      <c r="CM63" s="113"/>
    </row>
    <row r="64" spans="1:91" s="112" customFormat="1" ht="15" customHeight="1">
      <c r="A64" s="103"/>
      <c r="B64" s="104"/>
      <c r="C64" s="105"/>
      <c r="D64" s="106"/>
      <c r="E64" s="107">
        <f t="shared" si="60"/>
      </c>
      <c r="F64" s="108">
        <f t="shared" si="8"/>
      </c>
      <c r="G64" s="109"/>
      <c r="H64" s="110"/>
      <c r="I64" s="486">
        <f t="shared" si="61"/>
        <v>0</v>
      </c>
      <c r="J64" s="486">
        <f t="shared" si="3"/>
        <v>0</v>
      </c>
      <c r="K64" s="486">
        <f t="shared" si="4"/>
        <v>0</v>
      </c>
      <c r="L64" s="111">
        <f t="shared" si="10"/>
        <v>0</v>
      </c>
      <c r="M64" s="176">
        <f t="shared" si="55"/>
        <v>0</v>
      </c>
      <c r="N64" s="177">
        <f t="shared" si="64"/>
        <v>0</v>
      </c>
      <c r="P64" s="306">
        <f t="shared" si="12"/>
        <v>0</v>
      </c>
      <c r="Q64" s="71">
        <f t="shared" si="13"/>
        <v>0</v>
      </c>
      <c r="R64" s="71">
        <f t="shared" si="14"/>
        <v>0</v>
      </c>
      <c r="S64" s="71">
        <f t="shared" si="15"/>
        <v>0</v>
      </c>
      <c r="T64" s="71">
        <f>IF(kontonr&gt;1499,IF(kontonr&lt;1560,$N64),0)+IF(kontonr&gt;(Kontoplan!P$3-1),IF(kontonr&lt;(Kontoplan!P$3+300),$N64,0),0)</f>
        <v>0</v>
      </c>
      <c r="U64" s="71">
        <f t="shared" si="16"/>
        <v>0</v>
      </c>
      <c r="V64" s="71">
        <f t="shared" si="17"/>
        <v>0</v>
      </c>
      <c r="W64" s="71">
        <f t="shared" si="18"/>
        <v>0</v>
      </c>
      <c r="X64" s="71">
        <f t="shared" si="19"/>
        <v>0</v>
      </c>
      <c r="Y64" s="71">
        <f t="shared" si="20"/>
        <v>0</v>
      </c>
      <c r="Z64" s="71">
        <f>IF(kontonr&gt;2399,IF(kontonr&lt;2500,$N64),0)+IF(kontonr&gt;(Kontoplan!$P$4-1),IF(kontonr&lt;(Kontoplan!$P$4+600),$N64,0),0)</f>
        <v>0</v>
      </c>
      <c r="AA64" s="71">
        <f t="shared" si="21"/>
        <v>0</v>
      </c>
      <c r="AB64" s="71">
        <f t="shared" si="22"/>
        <v>0</v>
      </c>
      <c r="AC64" s="71">
        <f t="shared" si="23"/>
        <v>0</v>
      </c>
      <c r="AD64" s="71">
        <f t="shared" si="24"/>
        <v>0</v>
      </c>
      <c r="AE64" s="71">
        <f t="shared" si="25"/>
        <v>0</v>
      </c>
      <c r="AF64" s="306">
        <f t="shared" si="26"/>
        <v>0</v>
      </c>
      <c r="AG64" s="74">
        <f t="shared" si="27"/>
        <v>0</v>
      </c>
      <c r="AH64" s="71">
        <f t="shared" si="28"/>
        <v>0</v>
      </c>
      <c r="AI64" s="71">
        <f t="shared" si="29"/>
        <v>0</v>
      </c>
      <c r="AJ64" s="71">
        <f t="shared" si="56"/>
        <v>0</v>
      </c>
      <c r="AK64" s="71">
        <f t="shared" si="31"/>
        <v>0</v>
      </c>
      <c r="AL64" s="71">
        <f t="shared" si="32"/>
        <v>0</v>
      </c>
      <c r="AM64" s="71">
        <f t="shared" si="57"/>
        <v>0</v>
      </c>
      <c r="AN64" s="71">
        <f t="shared" si="58"/>
        <v>0</v>
      </c>
      <c r="AO64" s="71">
        <f t="shared" si="35"/>
        <v>0</v>
      </c>
      <c r="AP64" s="71">
        <f t="shared" si="36"/>
        <v>0</v>
      </c>
      <c r="AQ64" s="71">
        <f t="shared" si="37"/>
        <v>0</v>
      </c>
      <c r="AR64" s="71">
        <f t="shared" si="38"/>
        <v>0</v>
      </c>
      <c r="AS64" s="71">
        <f t="shared" si="39"/>
        <v>0</v>
      </c>
      <c r="AT64" s="71">
        <f t="shared" si="40"/>
        <v>0</v>
      </c>
      <c r="AU64" s="306">
        <f t="shared" si="41"/>
        <v>0</v>
      </c>
      <c r="AV64" s="71">
        <f t="shared" si="42"/>
        <v>0</v>
      </c>
      <c r="AW64" s="71">
        <f t="shared" si="43"/>
        <v>0</v>
      </c>
      <c r="AX64" s="71">
        <f t="shared" si="44"/>
        <v>0</v>
      </c>
      <c r="AY64" s="113">
        <f t="shared" si="59"/>
        <v>0</v>
      </c>
      <c r="AZ64" s="113">
        <f t="shared" si="65"/>
        <v>0</v>
      </c>
      <c r="BA64" s="113">
        <f aca="true" t="shared" si="69" ref="BA64:BM73">IF(kontonr=BA$5,$N64,0)</f>
        <v>0</v>
      </c>
      <c r="BB64" s="113">
        <f t="shared" si="69"/>
        <v>0</v>
      </c>
      <c r="BC64" s="113">
        <f t="shared" si="69"/>
        <v>0</v>
      </c>
      <c r="BD64" s="113">
        <f t="shared" si="69"/>
        <v>0</v>
      </c>
      <c r="BE64" s="113">
        <f t="shared" si="69"/>
        <v>0</v>
      </c>
      <c r="BF64" s="113">
        <f t="shared" si="69"/>
        <v>0</v>
      </c>
      <c r="BG64" s="113">
        <f t="shared" si="69"/>
        <v>0</v>
      </c>
      <c r="BH64" s="113">
        <f t="shared" si="69"/>
        <v>0</v>
      </c>
      <c r="BI64" s="113">
        <f t="shared" si="69"/>
        <v>0</v>
      </c>
      <c r="BJ64" s="113">
        <f t="shared" si="69"/>
        <v>0</v>
      </c>
      <c r="BK64" s="113">
        <f t="shared" si="69"/>
        <v>0</v>
      </c>
      <c r="BL64" s="113">
        <f t="shared" si="69"/>
        <v>0</v>
      </c>
      <c r="BM64" s="113">
        <f t="shared" si="69"/>
        <v>0</v>
      </c>
      <c r="BN64" s="113">
        <f t="shared" si="68"/>
        <v>0</v>
      </c>
      <c r="BO64" s="113">
        <f t="shared" si="68"/>
        <v>0</v>
      </c>
      <c r="BP64" s="113">
        <f t="shared" si="68"/>
        <v>0</v>
      </c>
      <c r="BQ64" s="113">
        <f t="shared" si="54"/>
        <v>0</v>
      </c>
      <c r="BR64" s="113">
        <f t="shared" si="54"/>
        <v>0</v>
      </c>
      <c r="BS64" s="113">
        <f t="shared" si="47"/>
        <v>0</v>
      </c>
      <c r="BT64" s="113">
        <f t="shared" si="48"/>
        <v>0</v>
      </c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08">
        <f t="shared" si="49"/>
      </c>
      <c r="CJ64" s="113"/>
      <c r="CK64" s="113"/>
      <c r="CL64" s="113"/>
      <c r="CM64" s="113"/>
    </row>
    <row r="65" spans="1:91" s="112" customFormat="1" ht="15" customHeight="1">
      <c r="A65" s="103"/>
      <c r="B65" s="104"/>
      <c r="C65" s="105"/>
      <c r="D65" s="106"/>
      <c r="E65" s="107">
        <f t="shared" si="60"/>
      </c>
      <c r="F65" s="108">
        <f t="shared" si="8"/>
      </c>
      <c r="G65" s="109"/>
      <c r="H65" s="110"/>
      <c r="I65" s="486">
        <f t="shared" si="61"/>
        <v>0</v>
      </c>
      <c r="J65" s="486">
        <f t="shared" si="3"/>
        <v>0</v>
      </c>
      <c r="K65" s="486">
        <f t="shared" si="4"/>
        <v>0</v>
      </c>
      <c r="L65" s="111">
        <f t="shared" si="10"/>
        <v>0</v>
      </c>
      <c r="M65" s="176">
        <f t="shared" si="55"/>
        <v>0</v>
      </c>
      <c r="N65" s="177">
        <f t="shared" si="64"/>
        <v>0</v>
      </c>
      <c r="P65" s="306">
        <f t="shared" si="12"/>
        <v>0</v>
      </c>
      <c r="Q65" s="71">
        <f t="shared" si="13"/>
        <v>0</v>
      </c>
      <c r="R65" s="71">
        <f t="shared" si="14"/>
        <v>0</v>
      </c>
      <c r="S65" s="71">
        <f t="shared" si="15"/>
        <v>0</v>
      </c>
      <c r="T65" s="71">
        <f>IF(kontonr&gt;1499,IF(kontonr&lt;1560,$N65),0)+IF(kontonr&gt;(Kontoplan!P$3-1),IF(kontonr&lt;(Kontoplan!P$3+300),$N65,0),0)</f>
        <v>0</v>
      </c>
      <c r="U65" s="71">
        <f t="shared" si="16"/>
        <v>0</v>
      </c>
      <c r="V65" s="71">
        <f t="shared" si="17"/>
        <v>0</v>
      </c>
      <c r="W65" s="71">
        <f t="shared" si="18"/>
        <v>0</v>
      </c>
      <c r="X65" s="71">
        <f t="shared" si="19"/>
        <v>0</v>
      </c>
      <c r="Y65" s="71">
        <f t="shared" si="20"/>
        <v>0</v>
      </c>
      <c r="Z65" s="71">
        <f>IF(kontonr&gt;2399,IF(kontonr&lt;2500,$N65),0)+IF(kontonr&gt;(Kontoplan!$P$4-1),IF(kontonr&lt;(Kontoplan!$P$4+600),$N65,0),0)</f>
        <v>0</v>
      </c>
      <c r="AA65" s="71">
        <f t="shared" si="21"/>
        <v>0</v>
      </c>
      <c r="AB65" s="71">
        <f t="shared" si="22"/>
        <v>0</v>
      </c>
      <c r="AC65" s="71">
        <f t="shared" si="23"/>
        <v>0</v>
      </c>
      <c r="AD65" s="71">
        <f t="shared" si="24"/>
        <v>0</v>
      </c>
      <c r="AE65" s="71">
        <f t="shared" si="25"/>
        <v>0</v>
      </c>
      <c r="AF65" s="306">
        <f t="shared" si="26"/>
        <v>0</v>
      </c>
      <c r="AG65" s="74">
        <f t="shared" si="27"/>
        <v>0</v>
      </c>
      <c r="AH65" s="71">
        <f t="shared" si="28"/>
        <v>0</v>
      </c>
      <c r="AI65" s="71">
        <f t="shared" si="29"/>
        <v>0</v>
      </c>
      <c r="AJ65" s="71">
        <f t="shared" si="56"/>
        <v>0</v>
      </c>
      <c r="AK65" s="71">
        <f t="shared" si="31"/>
        <v>0</v>
      </c>
      <c r="AL65" s="71">
        <f t="shared" si="32"/>
        <v>0</v>
      </c>
      <c r="AM65" s="71">
        <f t="shared" si="57"/>
        <v>0</v>
      </c>
      <c r="AN65" s="71">
        <f t="shared" si="58"/>
        <v>0</v>
      </c>
      <c r="AO65" s="71">
        <f t="shared" si="35"/>
        <v>0</v>
      </c>
      <c r="AP65" s="71">
        <f t="shared" si="36"/>
        <v>0</v>
      </c>
      <c r="AQ65" s="71">
        <f t="shared" si="37"/>
        <v>0</v>
      </c>
      <c r="AR65" s="71">
        <f t="shared" si="38"/>
        <v>0</v>
      </c>
      <c r="AS65" s="71">
        <f t="shared" si="39"/>
        <v>0</v>
      </c>
      <c r="AT65" s="71">
        <f t="shared" si="40"/>
        <v>0</v>
      </c>
      <c r="AU65" s="306">
        <f t="shared" si="41"/>
        <v>0</v>
      </c>
      <c r="AV65" s="71">
        <f t="shared" si="42"/>
        <v>0</v>
      </c>
      <c r="AW65" s="71">
        <f t="shared" si="43"/>
        <v>0</v>
      </c>
      <c r="AX65" s="71">
        <f t="shared" si="44"/>
        <v>0</v>
      </c>
      <c r="AY65" s="113">
        <f t="shared" si="59"/>
        <v>0</v>
      </c>
      <c r="AZ65" s="113">
        <f t="shared" si="65"/>
        <v>0</v>
      </c>
      <c r="BA65" s="113">
        <f t="shared" si="69"/>
        <v>0</v>
      </c>
      <c r="BB65" s="113">
        <f t="shared" si="69"/>
        <v>0</v>
      </c>
      <c r="BC65" s="113">
        <f t="shared" si="69"/>
        <v>0</v>
      </c>
      <c r="BD65" s="113">
        <f t="shared" si="69"/>
        <v>0</v>
      </c>
      <c r="BE65" s="113">
        <f t="shared" si="69"/>
        <v>0</v>
      </c>
      <c r="BF65" s="113">
        <f t="shared" si="69"/>
        <v>0</v>
      </c>
      <c r="BG65" s="113">
        <f t="shared" si="69"/>
        <v>0</v>
      </c>
      <c r="BH65" s="113">
        <f t="shared" si="69"/>
        <v>0</v>
      </c>
      <c r="BI65" s="113">
        <f t="shared" si="69"/>
        <v>0</v>
      </c>
      <c r="BJ65" s="113">
        <f t="shared" si="69"/>
        <v>0</v>
      </c>
      <c r="BK65" s="113">
        <f t="shared" si="69"/>
        <v>0</v>
      </c>
      <c r="BL65" s="113">
        <f t="shared" si="69"/>
        <v>0</v>
      </c>
      <c r="BM65" s="113">
        <f t="shared" si="69"/>
        <v>0</v>
      </c>
      <c r="BN65" s="113">
        <f t="shared" si="68"/>
        <v>0</v>
      </c>
      <c r="BO65" s="113">
        <f t="shared" si="68"/>
        <v>0</v>
      </c>
      <c r="BP65" s="113">
        <f t="shared" si="68"/>
        <v>0</v>
      </c>
      <c r="BQ65" s="113">
        <f t="shared" si="54"/>
        <v>0</v>
      </c>
      <c r="BR65" s="113">
        <f t="shared" si="54"/>
        <v>0</v>
      </c>
      <c r="BS65" s="113">
        <f t="shared" si="47"/>
        <v>0</v>
      </c>
      <c r="BT65" s="113">
        <f t="shared" si="48"/>
        <v>0</v>
      </c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08">
        <f t="shared" si="49"/>
      </c>
      <c r="CJ65" s="113"/>
      <c r="CK65" s="113"/>
      <c r="CL65" s="113"/>
      <c r="CM65" s="113"/>
    </row>
    <row r="66" spans="1:91" s="112" customFormat="1" ht="15" customHeight="1">
      <c r="A66" s="103"/>
      <c r="B66" s="104"/>
      <c r="C66" s="105"/>
      <c r="D66" s="106"/>
      <c r="E66" s="107">
        <f t="shared" si="60"/>
      </c>
      <c r="F66" s="108">
        <f t="shared" si="8"/>
      </c>
      <c r="G66" s="109"/>
      <c r="H66" s="110"/>
      <c r="I66" s="486">
        <f t="shared" si="61"/>
        <v>0</v>
      </c>
      <c r="J66" s="486">
        <f t="shared" si="3"/>
        <v>0</v>
      </c>
      <c r="K66" s="486">
        <f t="shared" si="4"/>
        <v>0</v>
      </c>
      <c r="L66" s="111">
        <f t="shared" si="10"/>
        <v>0</v>
      </c>
      <c r="M66" s="176">
        <f t="shared" si="55"/>
        <v>0</v>
      </c>
      <c r="N66" s="177">
        <f t="shared" si="64"/>
        <v>0</v>
      </c>
      <c r="P66" s="306">
        <f t="shared" si="12"/>
        <v>0</v>
      </c>
      <c r="Q66" s="71">
        <f t="shared" si="13"/>
        <v>0</v>
      </c>
      <c r="R66" s="71">
        <f t="shared" si="14"/>
        <v>0</v>
      </c>
      <c r="S66" s="71">
        <f t="shared" si="15"/>
        <v>0</v>
      </c>
      <c r="T66" s="71">
        <f>IF(kontonr&gt;1499,IF(kontonr&lt;1560,$N66),0)+IF(kontonr&gt;(Kontoplan!P$3-1),IF(kontonr&lt;(Kontoplan!P$3+300),$N66,0),0)</f>
        <v>0</v>
      </c>
      <c r="U66" s="71">
        <f t="shared" si="16"/>
        <v>0</v>
      </c>
      <c r="V66" s="71">
        <f t="shared" si="17"/>
        <v>0</v>
      </c>
      <c r="W66" s="71">
        <f t="shared" si="18"/>
        <v>0</v>
      </c>
      <c r="X66" s="71">
        <f t="shared" si="19"/>
        <v>0</v>
      </c>
      <c r="Y66" s="71">
        <f t="shared" si="20"/>
        <v>0</v>
      </c>
      <c r="Z66" s="71">
        <f>IF(kontonr&gt;2399,IF(kontonr&lt;2500,$N66),0)+IF(kontonr&gt;(Kontoplan!$P$4-1),IF(kontonr&lt;(Kontoplan!$P$4+600),$N66,0),0)</f>
        <v>0</v>
      </c>
      <c r="AA66" s="71">
        <f t="shared" si="21"/>
        <v>0</v>
      </c>
      <c r="AB66" s="71">
        <f t="shared" si="22"/>
        <v>0</v>
      </c>
      <c r="AC66" s="71">
        <f t="shared" si="23"/>
        <v>0</v>
      </c>
      <c r="AD66" s="71">
        <f t="shared" si="24"/>
        <v>0</v>
      </c>
      <c r="AE66" s="71">
        <f t="shared" si="25"/>
        <v>0</v>
      </c>
      <c r="AF66" s="306">
        <f t="shared" si="26"/>
        <v>0</v>
      </c>
      <c r="AG66" s="74">
        <f t="shared" si="27"/>
        <v>0</v>
      </c>
      <c r="AH66" s="71">
        <f t="shared" si="28"/>
        <v>0</v>
      </c>
      <c r="AI66" s="71">
        <f t="shared" si="29"/>
        <v>0</v>
      </c>
      <c r="AJ66" s="71">
        <f t="shared" si="56"/>
        <v>0</v>
      </c>
      <c r="AK66" s="71">
        <f t="shared" si="31"/>
        <v>0</v>
      </c>
      <c r="AL66" s="71">
        <f t="shared" si="32"/>
        <v>0</v>
      </c>
      <c r="AM66" s="71">
        <f t="shared" si="57"/>
        <v>0</v>
      </c>
      <c r="AN66" s="71">
        <f t="shared" si="58"/>
        <v>0</v>
      </c>
      <c r="AO66" s="71">
        <f t="shared" si="35"/>
        <v>0</v>
      </c>
      <c r="AP66" s="71">
        <f t="shared" si="36"/>
        <v>0</v>
      </c>
      <c r="AQ66" s="71">
        <f t="shared" si="37"/>
        <v>0</v>
      </c>
      <c r="AR66" s="71">
        <f t="shared" si="38"/>
        <v>0</v>
      </c>
      <c r="AS66" s="71">
        <f t="shared" si="39"/>
        <v>0</v>
      </c>
      <c r="AT66" s="71">
        <f t="shared" si="40"/>
        <v>0</v>
      </c>
      <c r="AU66" s="306">
        <f t="shared" si="41"/>
        <v>0</v>
      </c>
      <c r="AV66" s="71">
        <f t="shared" si="42"/>
        <v>0</v>
      </c>
      <c r="AW66" s="71">
        <f t="shared" si="43"/>
        <v>0</v>
      </c>
      <c r="AX66" s="71">
        <f t="shared" si="44"/>
        <v>0</v>
      </c>
      <c r="AY66" s="113">
        <f t="shared" si="59"/>
        <v>0</v>
      </c>
      <c r="AZ66" s="113">
        <f t="shared" si="65"/>
        <v>0</v>
      </c>
      <c r="BA66" s="113">
        <f t="shared" si="69"/>
        <v>0</v>
      </c>
      <c r="BB66" s="113">
        <f t="shared" si="69"/>
        <v>0</v>
      </c>
      <c r="BC66" s="113">
        <f t="shared" si="69"/>
        <v>0</v>
      </c>
      <c r="BD66" s="113">
        <f t="shared" si="69"/>
        <v>0</v>
      </c>
      <c r="BE66" s="113">
        <f t="shared" si="69"/>
        <v>0</v>
      </c>
      <c r="BF66" s="113">
        <f t="shared" si="69"/>
        <v>0</v>
      </c>
      <c r="BG66" s="113">
        <f t="shared" si="69"/>
        <v>0</v>
      </c>
      <c r="BH66" s="113">
        <f t="shared" si="69"/>
        <v>0</v>
      </c>
      <c r="BI66" s="113">
        <f t="shared" si="69"/>
        <v>0</v>
      </c>
      <c r="BJ66" s="113">
        <f t="shared" si="69"/>
        <v>0</v>
      </c>
      <c r="BK66" s="113">
        <f t="shared" si="69"/>
        <v>0</v>
      </c>
      <c r="BL66" s="113">
        <f t="shared" si="69"/>
        <v>0</v>
      </c>
      <c r="BM66" s="113">
        <f t="shared" si="69"/>
        <v>0</v>
      </c>
      <c r="BN66" s="113">
        <f t="shared" si="68"/>
        <v>0</v>
      </c>
      <c r="BO66" s="113">
        <f t="shared" si="68"/>
        <v>0</v>
      </c>
      <c r="BP66" s="113">
        <f t="shared" si="68"/>
        <v>0</v>
      </c>
      <c r="BQ66" s="113">
        <f t="shared" si="54"/>
        <v>0</v>
      </c>
      <c r="BR66" s="113">
        <f t="shared" si="54"/>
        <v>0</v>
      </c>
      <c r="BS66" s="113">
        <f t="shared" si="47"/>
        <v>0</v>
      </c>
      <c r="BT66" s="113">
        <f t="shared" si="48"/>
        <v>0</v>
      </c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08">
        <f t="shared" si="49"/>
      </c>
      <c r="CJ66" s="113"/>
      <c r="CK66" s="113"/>
      <c r="CL66" s="113"/>
      <c r="CM66" s="113"/>
    </row>
    <row r="67" spans="1:91" s="112" customFormat="1" ht="15" customHeight="1">
      <c r="A67" s="103"/>
      <c r="B67" s="104"/>
      <c r="C67" s="105"/>
      <c r="D67" s="106"/>
      <c r="E67" s="107">
        <f t="shared" si="60"/>
      </c>
      <c r="F67" s="108">
        <f t="shared" si="8"/>
      </c>
      <c r="G67" s="109"/>
      <c r="H67" s="110"/>
      <c r="I67" s="486">
        <f t="shared" si="61"/>
        <v>0</v>
      </c>
      <c r="J67" s="486">
        <f t="shared" si="3"/>
        <v>0</v>
      </c>
      <c r="K67" s="486">
        <f t="shared" si="4"/>
        <v>0</v>
      </c>
      <c r="L67" s="111">
        <f t="shared" si="10"/>
        <v>0</v>
      </c>
      <c r="M67" s="176">
        <f t="shared" si="55"/>
        <v>0</v>
      </c>
      <c r="N67" s="177">
        <f t="shared" si="64"/>
        <v>0</v>
      </c>
      <c r="P67" s="306">
        <f t="shared" si="12"/>
        <v>0</v>
      </c>
      <c r="Q67" s="71">
        <f t="shared" si="13"/>
        <v>0</v>
      </c>
      <c r="R67" s="71">
        <f t="shared" si="14"/>
        <v>0</v>
      </c>
      <c r="S67" s="71">
        <f t="shared" si="15"/>
        <v>0</v>
      </c>
      <c r="T67" s="71">
        <f>IF(kontonr&gt;1499,IF(kontonr&lt;1560,$N67),0)+IF(kontonr&gt;(Kontoplan!P$3-1),IF(kontonr&lt;(Kontoplan!P$3+300),$N67,0),0)</f>
        <v>0</v>
      </c>
      <c r="U67" s="71">
        <f t="shared" si="16"/>
        <v>0</v>
      </c>
      <c r="V67" s="71">
        <f t="shared" si="17"/>
        <v>0</v>
      </c>
      <c r="W67" s="71">
        <f t="shared" si="18"/>
        <v>0</v>
      </c>
      <c r="X67" s="71">
        <f t="shared" si="19"/>
        <v>0</v>
      </c>
      <c r="Y67" s="71">
        <f t="shared" si="20"/>
        <v>0</v>
      </c>
      <c r="Z67" s="71">
        <f>IF(kontonr&gt;2399,IF(kontonr&lt;2500,$N67),0)+IF(kontonr&gt;(Kontoplan!$P$4-1),IF(kontonr&lt;(Kontoplan!$P$4+600),$N67,0),0)</f>
        <v>0</v>
      </c>
      <c r="AA67" s="71">
        <f t="shared" si="21"/>
        <v>0</v>
      </c>
      <c r="AB67" s="71">
        <f t="shared" si="22"/>
        <v>0</v>
      </c>
      <c r="AC67" s="71">
        <f t="shared" si="23"/>
        <v>0</v>
      </c>
      <c r="AD67" s="71">
        <f t="shared" si="24"/>
        <v>0</v>
      </c>
      <c r="AE67" s="71">
        <f t="shared" si="25"/>
        <v>0</v>
      </c>
      <c r="AF67" s="306">
        <f t="shared" si="26"/>
        <v>0</v>
      </c>
      <c r="AG67" s="74">
        <f t="shared" si="27"/>
        <v>0</v>
      </c>
      <c r="AH67" s="71">
        <f t="shared" si="28"/>
        <v>0</v>
      </c>
      <c r="AI67" s="71">
        <f t="shared" si="29"/>
        <v>0</v>
      </c>
      <c r="AJ67" s="71">
        <f t="shared" si="56"/>
        <v>0</v>
      </c>
      <c r="AK67" s="71">
        <f t="shared" si="31"/>
        <v>0</v>
      </c>
      <c r="AL67" s="71">
        <f t="shared" si="32"/>
        <v>0</v>
      </c>
      <c r="AM67" s="71">
        <f t="shared" si="57"/>
        <v>0</v>
      </c>
      <c r="AN67" s="71">
        <f t="shared" si="58"/>
        <v>0</v>
      </c>
      <c r="AO67" s="71">
        <f t="shared" si="35"/>
        <v>0</v>
      </c>
      <c r="AP67" s="71">
        <f t="shared" si="36"/>
        <v>0</v>
      </c>
      <c r="AQ67" s="71">
        <f t="shared" si="37"/>
        <v>0</v>
      </c>
      <c r="AR67" s="71">
        <f t="shared" si="38"/>
        <v>0</v>
      </c>
      <c r="AS67" s="71">
        <f t="shared" si="39"/>
        <v>0</v>
      </c>
      <c r="AT67" s="71">
        <f t="shared" si="40"/>
        <v>0</v>
      </c>
      <c r="AU67" s="306">
        <f t="shared" si="41"/>
        <v>0</v>
      </c>
      <c r="AV67" s="71">
        <f t="shared" si="42"/>
        <v>0</v>
      </c>
      <c r="AW67" s="71">
        <f t="shared" si="43"/>
        <v>0</v>
      </c>
      <c r="AX67" s="71">
        <f t="shared" si="44"/>
        <v>0</v>
      </c>
      <c r="AY67" s="113">
        <f t="shared" si="59"/>
        <v>0</v>
      </c>
      <c r="AZ67" s="113">
        <f t="shared" si="65"/>
        <v>0</v>
      </c>
      <c r="BA67" s="113">
        <f t="shared" si="69"/>
        <v>0</v>
      </c>
      <c r="BB67" s="113">
        <f t="shared" si="69"/>
        <v>0</v>
      </c>
      <c r="BC67" s="113">
        <f t="shared" si="69"/>
        <v>0</v>
      </c>
      <c r="BD67" s="113">
        <f t="shared" si="69"/>
        <v>0</v>
      </c>
      <c r="BE67" s="113">
        <f t="shared" si="69"/>
        <v>0</v>
      </c>
      <c r="BF67" s="113">
        <f t="shared" si="69"/>
        <v>0</v>
      </c>
      <c r="BG67" s="113">
        <f t="shared" si="69"/>
        <v>0</v>
      </c>
      <c r="BH67" s="113">
        <f t="shared" si="69"/>
        <v>0</v>
      </c>
      <c r="BI67" s="113">
        <f t="shared" si="69"/>
        <v>0</v>
      </c>
      <c r="BJ67" s="113">
        <f t="shared" si="69"/>
        <v>0</v>
      </c>
      <c r="BK67" s="113">
        <f t="shared" si="69"/>
        <v>0</v>
      </c>
      <c r="BL67" s="113">
        <f t="shared" si="69"/>
        <v>0</v>
      </c>
      <c r="BM67" s="113">
        <f t="shared" si="69"/>
        <v>0</v>
      </c>
      <c r="BN67" s="113">
        <f t="shared" si="68"/>
        <v>0</v>
      </c>
      <c r="BO67" s="113">
        <f t="shared" si="68"/>
        <v>0</v>
      </c>
      <c r="BP67" s="113">
        <f t="shared" si="68"/>
        <v>0</v>
      </c>
      <c r="BQ67" s="113">
        <f t="shared" si="54"/>
        <v>0</v>
      </c>
      <c r="BR67" s="113">
        <f t="shared" si="54"/>
        <v>0</v>
      </c>
      <c r="BS67" s="113">
        <f t="shared" si="47"/>
        <v>0</v>
      </c>
      <c r="BT67" s="113">
        <f t="shared" si="48"/>
        <v>0</v>
      </c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08">
        <f t="shared" si="49"/>
      </c>
      <c r="CJ67" s="113"/>
      <c r="CK67" s="113"/>
      <c r="CL67" s="113"/>
      <c r="CM67" s="113"/>
    </row>
    <row r="68" spans="1:91" s="112" customFormat="1" ht="15" customHeight="1">
      <c r="A68" s="103"/>
      <c r="B68" s="104"/>
      <c r="C68" s="105"/>
      <c r="D68" s="106"/>
      <c r="E68" s="107">
        <f t="shared" si="60"/>
      </c>
      <c r="F68" s="108">
        <f t="shared" si="8"/>
      </c>
      <c r="G68" s="109"/>
      <c r="H68" s="110"/>
      <c r="I68" s="486">
        <f t="shared" si="61"/>
        <v>0</v>
      </c>
      <c r="J68" s="486">
        <f t="shared" si="3"/>
        <v>0</v>
      </c>
      <c r="K68" s="486">
        <f t="shared" si="4"/>
        <v>0</v>
      </c>
      <c r="L68" s="111">
        <f t="shared" si="10"/>
        <v>0</v>
      </c>
      <c r="M68" s="176">
        <f t="shared" si="55"/>
        <v>0</v>
      </c>
      <c r="N68" s="177">
        <f t="shared" si="64"/>
        <v>0</v>
      </c>
      <c r="P68" s="306">
        <f t="shared" si="12"/>
        <v>0</v>
      </c>
      <c r="Q68" s="71">
        <f t="shared" si="13"/>
        <v>0</v>
      </c>
      <c r="R68" s="71">
        <f t="shared" si="14"/>
        <v>0</v>
      </c>
      <c r="S68" s="71">
        <f t="shared" si="15"/>
        <v>0</v>
      </c>
      <c r="T68" s="71">
        <f>IF(kontonr&gt;1499,IF(kontonr&lt;1560,$N68),0)+IF(kontonr&gt;(Kontoplan!P$3-1),IF(kontonr&lt;(Kontoplan!P$3+300),$N68,0),0)</f>
        <v>0</v>
      </c>
      <c r="U68" s="71">
        <f t="shared" si="16"/>
        <v>0</v>
      </c>
      <c r="V68" s="71">
        <f t="shared" si="17"/>
        <v>0</v>
      </c>
      <c r="W68" s="71">
        <f t="shared" si="18"/>
        <v>0</v>
      </c>
      <c r="X68" s="71">
        <f t="shared" si="19"/>
        <v>0</v>
      </c>
      <c r="Y68" s="71">
        <f t="shared" si="20"/>
        <v>0</v>
      </c>
      <c r="Z68" s="71">
        <f>IF(kontonr&gt;2399,IF(kontonr&lt;2500,$N68),0)+IF(kontonr&gt;(Kontoplan!$P$4-1),IF(kontonr&lt;(Kontoplan!$P$4+600),$N68,0),0)</f>
        <v>0</v>
      </c>
      <c r="AA68" s="71">
        <f t="shared" si="21"/>
        <v>0</v>
      </c>
      <c r="AB68" s="71">
        <f t="shared" si="22"/>
        <v>0</v>
      </c>
      <c r="AC68" s="71">
        <f t="shared" si="23"/>
        <v>0</v>
      </c>
      <c r="AD68" s="71">
        <f t="shared" si="24"/>
        <v>0</v>
      </c>
      <c r="AE68" s="71">
        <f t="shared" si="25"/>
        <v>0</v>
      </c>
      <c r="AF68" s="306">
        <f t="shared" si="26"/>
        <v>0</v>
      </c>
      <c r="AG68" s="74">
        <f t="shared" si="27"/>
        <v>0</v>
      </c>
      <c r="AH68" s="71">
        <f t="shared" si="28"/>
        <v>0</v>
      </c>
      <c r="AI68" s="71">
        <f t="shared" si="29"/>
        <v>0</v>
      </c>
      <c r="AJ68" s="71">
        <f t="shared" si="56"/>
        <v>0</v>
      </c>
      <c r="AK68" s="71">
        <f t="shared" si="31"/>
        <v>0</v>
      </c>
      <c r="AL68" s="71">
        <f t="shared" si="32"/>
        <v>0</v>
      </c>
      <c r="AM68" s="71">
        <f t="shared" si="57"/>
        <v>0</v>
      </c>
      <c r="AN68" s="71">
        <f t="shared" si="58"/>
        <v>0</v>
      </c>
      <c r="AO68" s="71">
        <f t="shared" si="35"/>
        <v>0</v>
      </c>
      <c r="AP68" s="71">
        <f t="shared" si="36"/>
        <v>0</v>
      </c>
      <c r="AQ68" s="71">
        <f t="shared" si="37"/>
        <v>0</v>
      </c>
      <c r="AR68" s="71">
        <f t="shared" si="38"/>
        <v>0</v>
      </c>
      <c r="AS68" s="71">
        <f t="shared" si="39"/>
        <v>0</v>
      </c>
      <c r="AT68" s="71">
        <f t="shared" si="40"/>
        <v>0</v>
      </c>
      <c r="AU68" s="306">
        <f t="shared" si="41"/>
        <v>0</v>
      </c>
      <c r="AV68" s="71">
        <f t="shared" si="42"/>
        <v>0</v>
      </c>
      <c r="AW68" s="71">
        <f t="shared" si="43"/>
        <v>0</v>
      </c>
      <c r="AX68" s="71">
        <f t="shared" si="44"/>
        <v>0</v>
      </c>
      <c r="AY68" s="113">
        <f t="shared" si="59"/>
        <v>0</v>
      </c>
      <c r="AZ68" s="113">
        <f t="shared" si="65"/>
        <v>0</v>
      </c>
      <c r="BA68" s="113">
        <f t="shared" si="69"/>
        <v>0</v>
      </c>
      <c r="BB68" s="113">
        <f t="shared" si="69"/>
        <v>0</v>
      </c>
      <c r="BC68" s="113">
        <f t="shared" si="69"/>
        <v>0</v>
      </c>
      <c r="BD68" s="113">
        <f t="shared" si="69"/>
        <v>0</v>
      </c>
      <c r="BE68" s="113">
        <f t="shared" si="69"/>
        <v>0</v>
      </c>
      <c r="BF68" s="113">
        <f t="shared" si="69"/>
        <v>0</v>
      </c>
      <c r="BG68" s="113">
        <f t="shared" si="69"/>
        <v>0</v>
      </c>
      <c r="BH68" s="113">
        <f t="shared" si="69"/>
        <v>0</v>
      </c>
      <c r="BI68" s="113">
        <f t="shared" si="69"/>
        <v>0</v>
      </c>
      <c r="BJ68" s="113">
        <f t="shared" si="69"/>
        <v>0</v>
      </c>
      <c r="BK68" s="113">
        <f t="shared" si="69"/>
        <v>0</v>
      </c>
      <c r="BL68" s="113">
        <f t="shared" si="69"/>
        <v>0</v>
      </c>
      <c r="BM68" s="113">
        <f t="shared" si="69"/>
        <v>0</v>
      </c>
      <c r="BN68" s="113">
        <f t="shared" si="68"/>
        <v>0</v>
      </c>
      <c r="BO68" s="113">
        <f t="shared" si="68"/>
        <v>0</v>
      </c>
      <c r="BP68" s="113">
        <f t="shared" si="68"/>
        <v>0</v>
      </c>
      <c r="BQ68" s="113">
        <f t="shared" si="54"/>
        <v>0</v>
      </c>
      <c r="BR68" s="113">
        <f t="shared" si="54"/>
        <v>0</v>
      </c>
      <c r="BS68" s="113">
        <f t="shared" si="47"/>
        <v>0</v>
      </c>
      <c r="BT68" s="113">
        <f t="shared" si="48"/>
        <v>0</v>
      </c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08">
        <f t="shared" si="49"/>
      </c>
      <c r="CJ68" s="113"/>
      <c r="CK68" s="113"/>
      <c r="CL68" s="113"/>
      <c r="CM68" s="113"/>
    </row>
    <row r="69" spans="1:91" s="112" customFormat="1" ht="15" customHeight="1">
      <c r="A69" s="103"/>
      <c r="B69" s="104"/>
      <c r="C69" s="105"/>
      <c r="D69" s="106"/>
      <c r="E69" s="107">
        <f t="shared" si="60"/>
      </c>
      <c r="F69" s="108">
        <f t="shared" si="8"/>
      </c>
      <c r="G69" s="109"/>
      <c r="H69" s="110"/>
      <c r="I69" s="486">
        <f t="shared" si="61"/>
        <v>0</v>
      </c>
      <c r="J69" s="486">
        <f t="shared" si="3"/>
        <v>0</v>
      </c>
      <c r="K69" s="486">
        <f t="shared" si="4"/>
        <v>0</v>
      </c>
      <c r="L69" s="111">
        <f t="shared" si="10"/>
        <v>0</v>
      </c>
      <c r="M69" s="176">
        <f t="shared" si="55"/>
        <v>0</v>
      </c>
      <c r="N69" s="177">
        <f t="shared" si="64"/>
        <v>0</v>
      </c>
      <c r="P69" s="306">
        <f t="shared" si="12"/>
        <v>0</v>
      </c>
      <c r="Q69" s="71">
        <f t="shared" si="13"/>
        <v>0</v>
      </c>
      <c r="R69" s="71">
        <f t="shared" si="14"/>
        <v>0</v>
      </c>
      <c r="S69" s="71">
        <f t="shared" si="15"/>
        <v>0</v>
      </c>
      <c r="T69" s="71">
        <f>IF(kontonr&gt;1499,IF(kontonr&lt;1560,$N69),0)+IF(kontonr&gt;(Kontoplan!P$3-1),IF(kontonr&lt;(Kontoplan!P$3+300),$N69,0),0)</f>
        <v>0</v>
      </c>
      <c r="U69" s="71">
        <f t="shared" si="16"/>
        <v>0</v>
      </c>
      <c r="V69" s="71">
        <f t="shared" si="17"/>
        <v>0</v>
      </c>
      <c r="W69" s="71">
        <f t="shared" si="18"/>
        <v>0</v>
      </c>
      <c r="X69" s="71">
        <f t="shared" si="19"/>
        <v>0</v>
      </c>
      <c r="Y69" s="71">
        <f t="shared" si="20"/>
        <v>0</v>
      </c>
      <c r="Z69" s="71">
        <f>IF(kontonr&gt;2399,IF(kontonr&lt;2500,$N69),0)+IF(kontonr&gt;(Kontoplan!$P$4-1),IF(kontonr&lt;(Kontoplan!$P$4+600),$N69,0),0)</f>
        <v>0</v>
      </c>
      <c r="AA69" s="71">
        <f t="shared" si="21"/>
        <v>0</v>
      </c>
      <c r="AB69" s="71">
        <f t="shared" si="22"/>
        <v>0</v>
      </c>
      <c r="AC69" s="71">
        <f t="shared" si="23"/>
        <v>0</v>
      </c>
      <c r="AD69" s="71">
        <f t="shared" si="24"/>
        <v>0</v>
      </c>
      <c r="AE69" s="71">
        <f t="shared" si="25"/>
        <v>0</v>
      </c>
      <c r="AF69" s="306">
        <f t="shared" si="26"/>
        <v>0</v>
      </c>
      <c r="AG69" s="74">
        <f t="shared" si="27"/>
        <v>0</v>
      </c>
      <c r="AH69" s="71">
        <f t="shared" si="28"/>
        <v>0</v>
      </c>
      <c r="AI69" s="71">
        <f t="shared" si="29"/>
        <v>0</v>
      </c>
      <c r="AJ69" s="71">
        <f t="shared" si="56"/>
        <v>0</v>
      </c>
      <c r="AK69" s="71">
        <f t="shared" si="31"/>
        <v>0</v>
      </c>
      <c r="AL69" s="71">
        <f t="shared" si="32"/>
        <v>0</v>
      </c>
      <c r="AM69" s="71">
        <f t="shared" si="57"/>
        <v>0</v>
      </c>
      <c r="AN69" s="71">
        <f t="shared" si="58"/>
        <v>0</v>
      </c>
      <c r="AO69" s="71">
        <f t="shared" si="35"/>
        <v>0</v>
      </c>
      <c r="AP69" s="71">
        <f t="shared" si="36"/>
        <v>0</v>
      </c>
      <c r="AQ69" s="71">
        <f t="shared" si="37"/>
        <v>0</v>
      </c>
      <c r="AR69" s="71">
        <f t="shared" si="38"/>
        <v>0</v>
      </c>
      <c r="AS69" s="71">
        <f t="shared" si="39"/>
        <v>0</v>
      </c>
      <c r="AT69" s="71">
        <f t="shared" si="40"/>
        <v>0</v>
      </c>
      <c r="AU69" s="306">
        <f t="shared" si="41"/>
        <v>0</v>
      </c>
      <c r="AV69" s="71">
        <f t="shared" si="42"/>
        <v>0</v>
      </c>
      <c r="AW69" s="71">
        <f t="shared" si="43"/>
        <v>0</v>
      </c>
      <c r="AX69" s="71">
        <f t="shared" si="44"/>
        <v>0</v>
      </c>
      <c r="AY69" s="113">
        <f t="shared" si="59"/>
        <v>0</v>
      </c>
      <c r="AZ69" s="113">
        <f t="shared" si="65"/>
        <v>0</v>
      </c>
      <c r="BA69" s="113">
        <f t="shared" si="69"/>
        <v>0</v>
      </c>
      <c r="BB69" s="113">
        <f t="shared" si="69"/>
        <v>0</v>
      </c>
      <c r="BC69" s="113">
        <f t="shared" si="69"/>
        <v>0</v>
      </c>
      <c r="BD69" s="113">
        <f t="shared" si="69"/>
        <v>0</v>
      </c>
      <c r="BE69" s="113">
        <f t="shared" si="69"/>
        <v>0</v>
      </c>
      <c r="BF69" s="113">
        <f t="shared" si="69"/>
        <v>0</v>
      </c>
      <c r="BG69" s="113">
        <f t="shared" si="69"/>
        <v>0</v>
      </c>
      <c r="BH69" s="113">
        <f t="shared" si="69"/>
        <v>0</v>
      </c>
      <c r="BI69" s="113">
        <f t="shared" si="69"/>
        <v>0</v>
      </c>
      <c r="BJ69" s="113">
        <f t="shared" si="69"/>
        <v>0</v>
      </c>
      <c r="BK69" s="113">
        <f t="shared" si="69"/>
        <v>0</v>
      </c>
      <c r="BL69" s="113">
        <f t="shared" si="69"/>
        <v>0</v>
      </c>
      <c r="BM69" s="113">
        <f t="shared" si="69"/>
        <v>0</v>
      </c>
      <c r="BN69" s="113">
        <f t="shared" si="68"/>
        <v>0</v>
      </c>
      <c r="BO69" s="113">
        <f t="shared" si="68"/>
        <v>0</v>
      </c>
      <c r="BP69" s="113">
        <f t="shared" si="68"/>
        <v>0</v>
      </c>
      <c r="BQ69" s="113">
        <f t="shared" si="54"/>
        <v>0</v>
      </c>
      <c r="BR69" s="113">
        <f t="shared" si="54"/>
        <v>0</v>
      </c>
      <c r="BS69" s="113">
        <f t="shared" si="47"/>
        <v>0</v>
      </c>
      <c r="BT69" s="113">
        <f t="shared" si="48"/>
        <v>0</v>
      </c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08">
        <f t="shared" si="49"/>
      </c>
      <c r="CJ69" s="113"/>
      <c r="CK69" s="113"/>
      <c r="CL69" s="113"/>
      <c r="CM69" s="113"/>
    </row>
    <row r="70" spans="1:91" s="112" customFormat="1" ht="15" customHeight="1">
      <c r="A70" s="472"/>
      <c r="B70" s="473"/>
      <c r="C70" s="474"/>
      <c r="D70" s="475"/>
      <c r="E70" s="476">
        <f t="shared" si="60"/>
      </c>
      <c r="F70" s="108">
        <f t="shared" si="8"/>
      </c>
      <c r="G70" s="477"/>
      <c r="H70" s="478"/>
      <c r="I70" s="487">
        <f t="shared" si="61"/>
        <v>0</v>
      </c>
      <c r="J70" s="487">
        <f t="shared" si="3"/>
        <v>0</v>
      </c>
      <c r="K70" s="487">
        <f t="shared" si="4"/>
        <v>0</v>
      </c>
      <c r="L70" s="111">
        <f t="shared" si="10"/>
        <v>0</v>
      </c>
      <c r="M70" s="176">
        <f t="shared" si="55"/>
        <v>0</v>
      </c>
      <c r="N70" s="177">
        <f aca="true" t="shared" si="70" ref="N70:N101">IF(kontonr&lt;3000,nettobeløp,0)+SUM(K70:L70)+IF(kontonr&gt;=10000,nettobeløp,0)</f>
        <v>0</v>
      </c>
      <c r="P70" s="306">
        <f t="shared" si="12"/>
        <v>0</v>
      </c>
      <c r="Q70" s="71">
        <f t="shared" si="13"/>
        <v>0</v>
      </c>
      <c r="R70" s="71">
        <f t="shared" si="14"/>
        <v>0</v>
      </c>
      <c r="S70" s="71">
        <f t="shared" si="15"/>
        <v>0</v>
      </c>
      <c r="T70" s="71">
        <f>IF(kontonr&gt;1499,IF(kontonr&lt;1560,$N70),0)+IF(kontonr&gt;(Kontoplan!P$3-1),IF(kontonr&lt;(Kontoplan!P$3+300),$N70,0),0)</f>
        <v>0</v>
      </c>
      <c r="U70" s="71">
        <f t="shared" si="16"/>
        <v>0</v>
      </c>
      <c r="V70" s="71">
        <f t="shared" si="17"/>
        <v>0</v>
      </c>
      <c r="W70" s="71">
        <f t="shared" si="18"/>
        <v>0</v>
      </c>
      <c r="X70" s="71">
        <f t="shared" si="19"/>
        <v>0</v>
      </c>
      <c r="Y70" s="71">
        <f t="shared" si="20"/>
        <v>0</v>
      </c>
      <c r="Z70" s="71">
        <f>IF(kontonr&gt;2399,IF(kontonr&lt;2500,$N70),0)+IF(kontonr&gt;(Kontoplan!$P$4-1),IF(kontonr&lt;(Kontoplan!$P$4+600),$N70,0),0)</f>
        <v>0</v>
      </c>
      <c r="AA70" s="71">
        <f t="shared" si="21"/>
        <v>0</v>
      </c>
      <c r="AB70" s="71">
        <f t="shared" si="22"/>
        <v>0</v>
      </c>
      <c r="AC70" s="71">
        <f t="shared" si="23"/>
        <v>0</v>
      </c>
      <c r="AD70" s="71">
        <f t="shared" si="24"/>
        <v>0</v>
      </c>
      <c r="AE70" s="71">
        <f t="shared" si="25"/>
        <v>0</v>
      </c>
      <c r="AF70" s="306">
        <f t="shared" si="26"/>
        <v>0</v>
      </c>
      <c r="AG70" s="74">
        <f t="shared" si="27"/>
        <v>0</v>
      </c>
      <c r="AH70" s="71">
        <f t="shared" si="28"/>
        <v>0</v>
      </c>
      <c r="AI70" s="71">
        <f t="shared" si="29"/>
        <v>0</v>
      </c>
      <c r="AJ70" s="71">
        <f t="shared" si="56"/>
        <v>0</v>
      </c>
      <c r="AK70" s="71">
        <f t="shared" si="31"/>
        <v>0</v>
      </c>
      <c r="AL70" s="71">
        <f t="shared" si="32"/>
        <v>0</v>
      </c>
      <c r="AM70" s="71">
        <f t="shared" si="57"/>
        <v>0</v>
      </c>
      <c r="AN70" s="71">
        <f t="shared" si="58"/>
        <v>0</v>
      </c>
      <c r="AO70" s="71">
        <f t="shared" si="35"/>
        <v>0</v>
      </c>
      <c r="AP70" s="71">
        <f t="shared" si="36"/>
        <v>0</v>
      </c>
      <c r="AQ70" s="71">
        <f t="shared" si="37"/>
        <v>0</v>
      </c>
      <c r="AR70" s="71">
        <f t="shared" si="38"/>
        <v>0</v>
      </c>
      <c r="AS70" s="71">
        <f t="shared" si="39"/>
        <v>0</v>
      </c>
      <c r="AT70" s="71">
        <f t="shared" si="40"/>
        <v>0</v>
      </c>
      <c r="AU70" s="306">
        <f t="shared" si="41"/>
        <v>0</v>
      </c>
      <c r="AV70" s="71">
        <f t="shared" si="42"/>
        <v>0</v>
      </c>
      <c r="AW70" s="71">
        <f t="shared" si="43"/>
        <v>0</v>
      </c>
      <c r="AX70" s="71">
        <f t="shared" si="44"/>
        <v>0</v>
      </c>
      <c r="AY70" s="113">
        <f t="shared" si="59"/>
        <v>0</v>
      </c>
      <c r="AZ70" s="113">
        <f t="shared" si="65"/>
        <v>0</v>
      </c>
      <c r="BA70" s="113">
        <f t="shared" si="69"/>
        <v>0</v>
      </c>
      <c r="BB70" s="113">
        <f t="shared" si="69"/>
        <v>0</v>
      </c>
      <c r="BC70" s="113">
        <f t="shared" si="69"/>
        <v>0</v>
      </c>
      <c r="BD70" s="113">
        <f t="shared" si="69"/>
        <v>0</v>
      </c>
      <c r="BE70" s="113">
        <f t="shared" si="69"/>
        <v>0</v>
      </c>
      <c r="BF70" s="113">
        <f t="shared" si="69"/>
        <v>0</v>
      </c>
      <c r="BG70" s="113">
        <f t="shared" si="69"/>
        <v>0</v>
      </c>
      <c r="BH70" s="113">
        <f t="shared" si="69"/>
        <v>0</v>
      </c>
      <c r="BI70" s="113">
        <f t="shared" si="69"/>
        <v>0</v>
      </c>
      <c r="BJ70" s="113">
        <f t="shared" si="69"/>
        <v>0</v>
      </c>
      <c r="BK70" s="113">
        <f t="shared" si="69"/>
        <v>0</v>
      </c>
      <c r="BL70" s="113">
        <f t="shared" si="69"/>
        <v>0</v>
      </c>
      <c r="BM70" s="113">
        <f t="shared" si="69"/>
        <v>0</v>
      </c>
      <c r="BN70" s="113">
        <f t="shared" si="68"/>
        <v>0</v>
      </c>
      <c r="BO70" s="113">
        <f t="shared" si="68"/>
        <v>0</v>
      </c>
      <c r="BP70" s="113">
        <f t="shared" si="68"/>
        <v>0</v>
      </c>
      <c r="BQ70" s="113">
        <f t="shared" si="54"/>
        <v>0</v>
      </c>
      <c r="BR70" s="113">
        <f t="shared" si="54"/>
        <v>0</v>
      </c>
      <c r="BS70" s="113">
        <f t="shared" si="47"/>
        <v>0</v>
      </c>
      <c r="BT70" s="113">
        <f t="shared" si="48"/>
        <v>0</v>
      </c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08">
        <f t="shared" si="49"/>
      </c>
      <c r="CJ70" s="113"/>
      <c r="CK70" s="113"/>
      <c r="CL70" s="113"/>
      <c r="CM70" s="113"/>
    </row>
    <row r="71" spans="1:91" s="112" customFormat="1" ht="15" customHeight="1">
      <c r="A71" s="479"/>
      <c r="B71" s="480"/>
      <c r="C71" s="481"/>
      <c r="D71" s="482"/>
      <c r="E71" s="483">
        <f t="shared" si="60"/>
      </c>
      <c r="F71" s="108">
        <f t="shared" si="8"/>
      </c>
      <c r="G71" s="484"/>
      <c r="H71" s="485"/>
      <c r="I71" s="488">
        <f t="shared" si="61"/>
        <v>0</v>
      </c>
      <c r="J71" s="488">
        <f t="shared" si="3"/>
        <v>0</v>
      </c>
      <c r="K71" s="488">
        <f t="shared" si="4"/>
        <v>0</v>
      </c>
      <c r="L71" s="111">
        <f t="shared" si="10"/>
        <v>0</v>
      </c>
      <c r="M71" s="176">
        <f t="shared" si="55"/>
        <v>0</v>
      </c>
      <c r="N71" s="177">
        <f t="shared" si="70"/>
        <v>0</v>
      </c>
      <c r="P71" s="306">
        <f t="shared" si="12"/>
        <v>0</v>
      </c>
      <c r="Q71" s="71">
        <f t="shared" si="13"/>
        <v>0</v>
      </c>
      <c r="R71" s="71">
        <f t="shared" si="14"/>
        <v>0</v>
      </c>
      <c r="S71" s="71">
        <f t="shared" si="15"/>
        <v>0</v>
      </c>
      <c r="T71" s="71">
        <f>IF(kontonr&gt;1499,IF(kontonr&lt;1560,$N71),0)+IF(kontonr&gt;(Kontoplan!P$3-1),IF(kontonr&lt;(Kontoplan!P$3+300),$N71,0),0)</f>
        <v>0</v>
      </c>
      <c r="U71" s="71">
        <f t="shared" si="16"/>
        <v>0</v>
      </c>
      <c r="V71" s="71">
        <f t="shared" si="17"/>
        <v>0</v>
      </c>
      <c r="W71" s="71">
        <f t="shared" si="18"/>
        <v>0</v>
      </c>
      <c r="X71" s="71">
        <f t="shared" si="19"/>
        <v>0</v>
      </c>
      <c r="Y71" s="71">
        <f t="shared" si="20"/>
        <v>0</v>
      </c>
      <c r="Z71" s="71">
        <f>IF(kontonr&gt;2399,IF(kontonr&lt;2500,$N71),0)+IF(kontonr&gt;(Kontoplan!$P$4-1),IF(kontonr&lt;(Kontoplan!$P$4+600),$N71,0),0)</f>
        <v>0</v>
      </c>
      <c r="AA71" s="71">
        <f t="shared" si="21"/>
        <v>0</v>
      </c>
      <c r="AB71" s="71">
        <f t="shared" si="22"/>
        <v>0</v>
      </c>
      <c r="AC71" s="71">
        <f t="shared" si="23"/>
        <v>0</v>
      </c>
      <c r="AD71" s="71">
        <f t="shared" si="24"/>
        <v>0</v>
      </c>
      <c r="AE71" s="71">
        <f t="shared" si="25"/>
        <v>0</v>
      </c>
      <c r="AF71" s="306">
        <f t="shared" si="26"/>
        <v>0</v>
      </c>
      <c r="AG71" s="74">
        <f t="shared" si="27"/>
        <v>0</v>
      </c>
      <c r="AH71" s="71">
        <f t="shared" si="28"/>
        <v>0</v>
      </c>
      <c r="AI71" s="71">
        <f t="shared" si="29"/>
        <v>0</v>
      </c>
      <c r="AJ71" s="71">
        <f t="shared" si="56"/>
        <v>0</v>
      </c>
      <c r="AK71" s="71">
        <f t="shared" si="31"/>
        <v>0</v>
      </c>
      <c r="AL71" s="71">
        <f t="shared" si="32"/>
        <v>0</v>
      </c>
      <c r="AM71" s="71">
        <f t="shared" si="57"/>
        <v>0</v>
      </c>
      <c r="AN71" s="71">
        <f t="shared" si="58"/>
        <v>0</v>
      </c>
      <c r="AO71" s="71">
        <f t="shared" si="35"/>
        <v>0</v>
      </c>
      <c r="AP71" s="71">
        <f t="shared" si="36"/>
        <v>0</v>
      </c>
      <c r="AQ71" s="71">
        <f t="shared" si="37"/>
        <v>0</v>
      </c>
      <c r="AR71" s="71">
        <f t="shared" si="38"/>
        <v>0</v>
      </c>
      <c r="AS71" s="71">
        <f t="shared" si="39"/>
        <v>0</v>
      </c>
      <c r="AT71" s="71">
        <f t="shared" si="40"/>
        <v>0</v>
      </c>
      <c r="AU71" s="306">
        <f t="shared" si="41"/>
        <v>0</v>
      </c>
      <c r="AV71" s="71">
        <f t="shared" si="42"/>
        <v>0</v>
      </c>
      <c r="AW71" s="71">
        <f t="shared" si="43"/>
        <v>0</v>
      </c>
      <c r="AX71" s="71">
        <f t="shared" si="44"/>
        <v>0</v>
      </c>
      <c r="AY71" s="113">
        <f t="shared" si="59"/>
        <v>0</v>
      </c>
      <c r="AZ71" s="113">
        <f aca="true" t="shared" si="71" ref="AZ71:AZ102">IF(kontonr=AZ$5,$N71,0)</f>
        <v>0</v>
      </c>
      <c r="BA71" s="113">
        <f t="shared" si="69"/>
        <v>0</v>
      </c>
      <c r="BB71" s="113">
        <f t="shared" si="69"/>
        <v>0</v>
      </c>
      <c r="BC71" s="113">
        <f t="shared" si="69"/>
        <v>0</v>
      </c>
      <c r="BD71" s="113">
        <f t="shared" si="69"/>
        <v>0</v>
      </c>
      <c r="BE71" s="113">
        <f t="shared" si="69"/>
        <v>0</v>
      </c>
      <c r="BF71" s="113">
        <f t="shared" si="69"/>
        <v>0</v>
      </c>
      <c r="BG71" s="113">
        <f t="shared" si="69"/>
        <v>0</v>
      </c>
      <c r="BH71" s="113">
        <f t="shared" si="69"/>
        <v>0</v>
      </c>
      <c r="BI71" s="113">
        <f t="shared" si="69"/>
        <v>0</v>
      </c>
      <c r="BJ71" s="113">
        <f t="shared" si="69"/>
        <v>0</v>
      </c>
      <c r="BK71" s="113">
        <f t="shared" si="69"/>
        <v>0</v>
      </c>
      <c r="BL71" s="113">
        <f t="shared" si="69"/>
        <v>0</v>
      </c>
      <c r="BM71" s="113">
        <f t="shared" si="69"/>
        <v>0</v>
      </c>
      <c r="BN71" s="113">
        <f t="shared" si="68"/>
        <v>0</v>
      </c>
      <c r="BO71" s="113">
        <f t="shared" si="68"/>
        <v>0</v>
      </c>
      <c r="BP71" s="113">
        <f t="shared" si="68"/>
        <v>0</v>
      </c>
      <c r="BQ71" s="113">
        <f t="shared" si="54"/>
        <v>0</v>
      </c>
      <c r="BR71" s="113">
        <f t="shared" si="54"/>
        <v>0</v>
      </c>
      <c r="BS71" s="113">
        <f t="shared" si="47"/>
        <v>0</v>
      </c>
      <c r="BT71" s="113">
        <f t="shared" si="48"/>
        <v>0</v>
      </c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08">
        <f t="shared" si="49"/>
      </c>
      <c r="CJ71" s="113"/>
      <c r="CK71" s="113"/>
      <c r="CL71" s="113"/>
      <c r="CM71" s="113"/>
    </row>
    <row r="72" spans="1:91" s="112" customFormat="1" ht="15" customHeight="1">
      <c r="A72" s="103"/>
      <c r="B72" s="104"/>
      <c r="C72" s="105"/>
      <c r="D72" s="106"/>
      <c r="E72" s="107">
        <f t="shared" si="60"/>
      </c>
      <c r="F72" s="108">
        <f t="shared" si="8"/>
      </c>
      <c r="G72" s="109"/>
      <c r="H72" s="110"/>
      <c r="I72" s="486">
        <f t="shared" si="61"/>
        <v>0</v>
      </c>
      <c r="J72" s="486">
        <f t="shared" si="3"/>
        <v>0</v>
      </c>
      <c r="K72" s="486">
        <f t="shared" si="4"/>
        <v>0</v>
      </c>
      <c r="L72" s="111">
        <f t="shared" si="10"/>
        <v>0</v>
      </c>
      <c r="M72" s="176">
        <f t="shared" si="55"/>
        <v>0</v>
      </c>
      <c r="N72" s="177">
        <f t="shared" si="70"/>
        <v>0</v>
      </c>
      <c r="P72" s="306">
        <f t="shared" si="12"/>
        <v>0</v>
      </c>
      <c r="Q72" s="71">
        <f t="shared" si="13"/>
        <v>0</v>
      </c>
      <c r="R72" s="71">
        <f t="shared" si="14"/>
        <v>0</v>
      </c>
      <c r="S72" s="71">
        <f t="shared" si="15"/>
        <v>0</v>
      </c>
      <c r="T72" s="71">
        <f>IF(kontonr&gt;1499,IF(kontonr&lt;1560,$N72),0)+IF(kontonr&gt;(Kontoplan!P$3-1),IF(kontonr&lt;(Kontoplan!P$3+300),$N72,0),0)</f>
        <v>0</v>
      </c>
      <c r="U72" s="71">
        <f t="shared" si="16"/>
        <v>0</v>
      </c>
      <c r="V72" s="71">
        <f t="shared" si="17"/>
        <v>0</v>
      </c>
      <c r="W72" s="71">
        <f t="shared" si="18"/>
        <v>0</v>
      </c>
      <c r="X72" s="71">
        <f t="shared" si="19"/>
        <v>0</v>
      </c>
      <c r="Y72" s="71">
        <f t="shared" si="20"/>
        <v>0</v>
      </c>
      <c r="Z72" s="71">
        <f>IF(kontonr&gt;2399,IF(kontonr&lt;2500,$N72),0)+IF(kontonr&gt;(Kontoplan!$P$4-1),IF(kontonr&lt;(Kontoplan!$P$4+600),$N72,0),0)</f>
        <v>0</v>
      </c>
      <c r="AA72" s="71">
        <f t="shared" si="21"/>
        <v>0</v>
      </c>
      <c r="AB72" s="71">
        <f t="shared" si="22"/>
        <v>0</v>
      </c>
      <c r="AC72" s="71">
        <f t="shared" si="23"/>
        <v>0</v>
      </c>
      <c r="AD72" s="71">
        <f t="shared" si="24"/>
        <v>0</v>
      </c>
      <c r="AE72" s="71">
        <f t="shared" si="25"/>
        <v>0</v>
      </c>
      <c r="AF72" s="306">
        <f t="shared" si="26"/>
        <v>0</v>
      </c>
      <c r="AG72" s="74">
        <f t="shared" si="27"/>
        <v>0</v>
      </c>
      <c r="AH72" s="71">
        <f t="shared" si="28"/>
        <v>0</v>
      </c>
      <c r="AI72" s="71">
        <f t="shared" si="29"/>
        <v>0</v>
      </c>
      <c r="AJ72" s="71">
        <f t="shared" si="56"/>
        <v>0</v>
      </c>
      <c r="AK72" s="71">
        <f t="shared" si="31"/>
        <v>0</v>
      </c>
      <c r="AL72" s="71">
        <f t="shared" si="32"/>
        <v>0</v>
      </c>
      <c r="AM72" s="71">
        <f t="shared" si="57"/>
        <v>0</v>
      </c>
      <c r="AN72" s="71">
        <f t="shared" si="58"/>
        <v>0</v>
      </c>
      <c r="AO72" s="71">
        <f t="shared" si="35"/>
        <v>0</v>
      </c>
      <c r="AP72" s="71">
        <f t="shared" si="36"/>
        <v>0</v>
      </c>
      <c r="AQ72" s="71">
        <f t="shared" si="37"/>
        <v>0</v>
      </c>
      <c r="AR72" s="71">
        <f t="shared" si="38"/>
        <v>0</v>
      </c>
      <c r="AS72" s="71">
        <f t="shared" si="39"/>
        <v>0</v>
      </c>
      <c r="AT72" s="71">
        <f t="shared" si="40"/>
        <v>0</v>
      </c>
      <c r="AU72" s="306">
        <f t="shared" si="41"/>
        <v>0</v>
      </c>
      <c r="AV72" s="71">
        <f t="shared" si="42"/>
        <v>0</v>
      </c>
      <c r="AW72" s="71">
        <f t="shared" si="43"/>
        <v>0</v>
      </c>
      <c r="AX72" s="71">
        <f t="shared" si="44"/>
        <v>0</v>
      </c>
      <c r="AY72" s="113">
        <f t="shared" si="59"/>
        <v>0</v>
      </c>
      <c r="AZ72" s="113">
        <f t="shared" si="71"/>
        <v>0</v>
      </c>
      <c r="BA72" s="113">
        <f t="shared" si="69"/>
        <v>0</v>
      </c>
      <c r="BB72" s="113">
        <f t="shared" si="69"/>
        <v>0</v>
      </c>
      <c r="BC72" s="113">
        <f t="shared" si="69"/>
        <v>0</v>
      </c>
      <c r="BD72" s="113">
        <f t="shared" si="69"/>
        <v>0</v>
      </c>
      <c r="BE72" s="113">
        <f t="shared" si="69"/>
        <v>0</v>
      </c>
      <c r="BF72" s="113">
        <f t="shared" si="69"/>
        <v>0</v>
      </c>
      <c r="BG72" s="113">
        <f t="shared" si="69"/>
        <v>0</v>
      </c>
      <c r="BH72" s="113">
        <f t="shared" si="69"/>
        <v>0</v>
      </c>
      <c r="BI72" s="113">
        <f t="shared" si="69"/>
        <v>0</v>
      </c>
      <c r="BJ72" s="113">
        <f t="shared" si="69"/>
        <v>0</v>
      </c>
      <c r="BK72" s="113">
        <f t="shared" si="69"/>
        <v>0</v>
      </c>
      <c r="BL72" s="113">
        <f t="shared" si="69"/>
        <v>0</v>
      </c>
      <c r="BM72" s="113">
        <f t="shared" si="69"/>
        <v>0</v>
      </c>
      <c r="BN72" s="113">
        <f t="shared" si="68"/>
        <v>0</v>
      </c>
      <c r="BO72" s="113">
        <f t="shared" si="68"/>
        <v>0</v>
      </c>
      <c r="BP72" s="113">
        <f t="shared" si="68"/>
        <v>0</v>
      </c>
      <c r="BQ72" s="113">
        <f t="shared" si="54"/>
        <v>0</v>
      </c>
      <c r="BR72" s="113">
        <f t="shared" si="54"/>
        <v>0</v>
      </c>
      <c r="BS72" s="113">
        <f t="shared" si="47"/>
        <v>0</v>
      </c>
      <c r="BT72" s="113">
        <f t="shared" si="48"/>
        <v>0</v>
      </c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08">
        <f t="shared" si="49"/>
      </c>
      <c r="CJ72" s="113"/>
      <c r="CK72" s="113"/>
      <c r="CL72" s="113"/>
      <c r="CM72" s="113"/>
    </row>
    <row r="73" spans="1:91" s="112" customFormat="1" ht="15" customHeight="1">
      <c r="A73" s="103"/>
      <c r="B73" s="104"/>
      <c r="C73" s="105"/>
      <c r="D73" s="106"/>
      <c r="E73" s="107">
        <f t="shared" si="60"/>
      </c>
      <c r="F73" s="108">
        <f t="shared" si="8"/>
      </c>
      <c r="G73" s="109"/>
      <c r="H73" s="110"/>
      <c r="I73" s="486">
        <f t="shared" si="61"/>
        <v>0</v>
      </c>
      <c r="J73" s="486">
        <f t="shared" si="3"/>
        <v>0</v>
      </c>
      <c r="K73" s="486">
        <f t="shared" si="4"/>
        <v>0</v>
      </c>
      <c r="L73" s="111">
        <f t="shared" si="10"/>
        <v>0</v>
      </c>
      <c r="M73" s="176">
        <f t="shared" si="55"/>
        <v>0</v>
      </c>
      <c r="N73" s="177">
        <f t="shared" si="70"/>
        <v>0</v>
      </c>
      <c r="P73" s="306">
        <f t="shared" si="12"/>
        <v>0</v>
      </c>
      <c r="Q73" s="71">
        <f t="shared" si="13"/>
        <v>0</v>
      </c>
      <c r="R73" s="71">
        <f t="shared" si="14"/>
        <v>0</v>
      </c>
      <c r="S73" s="71">
        <f t="shared" si="15"/>
        <v>0</v>
      </c>
      <c r="T73" s="71">
        <f>IF(kontonr&gt;1499,IF(kontonr&lt;1560,$N73),0)+IF(kontonr&gt;(Kontoplan!P$3-1),IF(kontonr&lt;(Kontoplan!P$3+300),$N73,0),0)</f>
        <v>0</v>
      </c>
      <c r="U73" s="71">
        <f t="shared" si="16"/>
        <v>0</v>
      </c>
      <c r="V73" s="71">
        <f t="shared" si="17"/>
        <v>0</v>
      </c>
      <c r="W73" s="71">
        <f t="shared" si="18"/>
        <v>0</v>
      </c>
      <c r="X73" s="71">
        <f t="shared" si="19"/>
        <v>0</v>
      </c>
      <c r="Y73" s="71">
        <f t="shared" si="20"/>
        <v>0</v>
      </c>
      <c r="Z73" s="71">
        <f>IF(kontonr&gt;2399,IF(kontonr&lt;2500,$N73),0)+IF(kontonr&gt;(Kontoplan!$P$4-1),IF(kontonr&lt;(Kontoplan!$P$4+600),$N73,0),0)</f>
        <v>0</v>
      </c>
      <c r="AA73" s="71">
        <f t="shared" si="21"/>
        <v>0</v>
      </c>
      <c r="AB73" s="71">
        <f t="shared" si="22"/>
        <v>0</v>
      </c>
      <c r="AC73" s="71">
        <f t="shared" si="23"/>
        <v>0</v>
      </c>
      <c r="AD73" s="71">
        <f t="shared" si="24"/>
        <v>0</v>
      </c>
      <c r="AE73" s="71">
        <f t="shared" si="25"/>
        <v>0</v>
      </c>
      <c r="AF73" s="306">
        <f t="shared" si="26"/>
        <v>0</v>
      </c>
      <c r="AG73" s="74">
        <f t="shared" si="27"/>
        <v>0</v>
      </c>
      <c r="AH73" s="71">
        <f t="shared" si="28"/>
        <v>0</v>
      </c>
      <c r="AI73" s="71">
        <f t="shared" si="29"/>
        <v>0</v>
      </c>
      <c r="AJ73" s="71">
        <f t="shared" si="56"/>
        <v>0</v>
      </c>
      <c r="AK73" s="71">
        <f t="shared" si="31"/>
        <v>0</v>
      </c>
      <c r="AL73" s="71">
        <f t="shared" si="32"/>
        <v>0</v>
      </c>
      <c r="AM73" s="71">
        <f t="shared" si="57"/>
        <v>0</v>
      </c>
      <c r="AN73" s="71">
        <f t="shared" si="58"/>
        <v>0</v>
      </c>
      <c r="AO73" s="71">
        <f t="shared" si="35"/>
        <v>0</v>
      </c>
      <c r="AP73" s="71">
        <f t="shared" si="36"/>
        <v>0</v>
      </c>
      <c r="AQ73" s="71">
        <f t="shared" si="37"/>
        <v>0</v>
      </c>
      <c r="AR73" s="71">
        <f t="shared" si="38"/>
        <v>0</v>
      </c>
      <c r="AS73" s="71">
        <f t="shared" si="39"/>
        <v>0</v>
      </c>
      <c r="AT73" s="71">
        <f t="shared" si="40"/>
        <v>0</v>
      </c>
      <c r="AU73" s="306">
        <f t="shared" si="41"/>
        <v>0</v>
      </c>
      <c r="AV73" s="71">
        <f t="shared" si="42"/>
        <v>0</v>
      </c>
      <c r="AW73" s="71">
        <f t="shared" si="43"/>
        <v>0</v>
      </c>
      <c r="AX73" s="71">
        <f t="shared" si="44"/>
        <v>0</v>
      </c>
      <c r="AY73" s="113">
        <f t="shared" si="59"/>
        <v>0</v>
      </c>
      <c r="AZ73" s="113">
        <f t="shared" si="71"/>
        <v>0</v>
      </c>
      <c r="BA73" s="113">
        <f t="shared" si="69"/>
        <v>0</v>
      </c>
      <c r="BB73" s="113">
        <f t="shared" si="69"/>
        <v>0</v>
      </c>
      <c r="BC73" s="113">
        <f t="shared" si="69"/>
        <v>0</v>
      </c>
      <c r="BD73" s="113">
        <f t="shared" si="69"/>
        <v>0</v>
      </c>
      <c r="BE73" s="113">
        <f t="shared" si="69"/>
        <v>0</v>
      </c>
      <c r="BF73" s="113">
        <f t="shared" si="69"/>
        <v>0</v>
      </c>
      <c r="BG73" s="113">
        <f t="shared" si="69"/>
        <v>0</v>
      </c>
      <c r="BH73" s="113">
        <f t="shared" si="69"/>
        <v>0</v>
      </c>
      <c r="BI73" s="113">
        <f t="shared" si="69"/>
        <v>0</v>
      </c>
      <c r="BJ73" s="113">
        <f t="shared" si="69"/>
        <v>0</v>
      </c>
      <c r="BK73" s="113">
        <f t="shared" si="69"/>
        <v>0</v>
      </c>
      <c r="BL73" s="113">
        <f t="shared" si="69"/>
        <v>0</v>
      </c>
      <c r="BM73" s="113">
        <f t="shared" si="69"/>
        <v>0</v>
      </c>
      <c r="BN73" s="113">
        <f t="shared" si="68"/>
        <v>0</v>
      </c>
      <c r="BO73" s="113">
        <f t="shared" si="68"/>
        <v>0</v>
      </c>
      <c r="BP73" s="113">
        <f t="shared" si="68"/>
        <v>0</v>
      </c>
      <c r="BQ73" s="113">
        <f t="shared" si="54"/>
        <v>0</v>
      </c>
      <c r="BR73" s="113">
        <f t="shared" si="54"/>
        <v>0</v>
      </c>
      <c r="BS73" s="113">
        <f t="shared" si="47"/>
        <v>0</v>
      </c>
      <c r="BT73" s="113">
        <f t="shared" si="48"/>
        <v>0</v>
      </c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08">
        <f t="shared" si="49"/>
      </c>
      <c r="CJ73" s="113"/>
      <c r="CK73" s="113"/>
      <c r="CL73" s="113"/>
      <c r="CM73" s="113"/>
    </row>
    <row r="74" spans="1:91" s="112" customFormat="1" ht="15" customHeight="1">
      <c r="A74" s="103"/>
      <c r="B74" s="104"/>
      <c r="C74" s="105"/>
      <c r="D74" s="106"/>
      <c r="E74" s="107">
        <f t="shared" si="60"/>
      </c>
      <c r="F74" s="108">
        <f t="shared" si="8"/>
      </c>
      <c r="G74" s="109"/>
      <c r="H74" s="110"/>
      <c r="I74" s="486">
        <f t="shared" si="61"/>
        <v>0</v>
      </c>
      <c r="J74" s="486">
        <f t="shared" si="3"/>
        <v>0</v>
      </c>
      <c r="K74" s="486">
        <f t="shared" si="4"/>
        <v>0</v>
      </c>
      <c r="L74" s="111">
        <f t="shared" si="10"/>
        <v>0</v>
      </c>
      <c r="M74" s="176">
        <f t="shared" si="55"/>
        <v>0</v>
      </c>
      <c r="N74" s="177">
        <f t="shared" si="70"/>
        <v>0</v>
      </c>
      <c r="P74" s="306">
        <f t="shared" si="12"/>
        <v>0</v>
      </c>
      <c r="Q74" s="71">
        <f t="shared" si="13"/>
        <v>0</v>
      </c>
      <c r="R74" s="71">
        <f t="shared" si="14"/>
        <v>0</v>
      </c>
      <c r="S74" s="71">
        <f t="shared" si="15"/>
        <v>0</v>
      </c>
      <c r="T74" s="71">
        <f>IF(kontonr&gt;1499,IF(kontonr&lt;1560,$N74),0)+IF(kontonr&gt;(Kontoplan!P$3-1),IF(kontonr&lt;(Kontoplan!P$3+300),$N74,0),0)</f>
        <v>0</v>
      </c>
      <c r="U74" s="71">
        <f t="shared" si="16"/>
        <v>0</v>
      </c>
      <c r="V74" s="71">
        <f t="shared" si="17"/>
        <v>0</v>
      </c>
      <c r="W74" s="71">
        <f t="shared" si="18"/>
        <v>0</v>
      </c>
      <c r="X74" s="71">
        <f t="shared" si="19"/>
        <v>0</v>
      </c>
      <c r="Y74" s="71">
        <f t="shared" si="20"/>
        <v>0</v>
      </c>
      <c r="Z74" s="71">
        <f>IF(kontonr&gt;2399,IF(kontonr&lt;2500,$N74),0)+IF(kontonr&gt;(Kontoplan!$P$4-1),IF(kontonr&lt;(Kontoplan!$P$4+600),$N74,0),0)</f>
        <v>0</v>
      </c>
      <c r="AA74" s="71">
        <f t="shared" si="21"/>
        <v>0</v>
      </c>
      <c r="AB74" s="71">
        <f t="shared" si="22"/>
        <v>0</v>
      </c>
      <c r="AC74" s="71">
        <f t="shared" si="23"/>
        <v>0</v>
      </c>
      <c r="AD74" s="71">
        <f t="shared" si="24"/>
        <v>0</v>
      </c>
      <c r="AE74" s="71">
        <f t="shared" si="25"/>
        <v>0</v>
      </c>
      <c r="AF74" s="306">
        <f t="shared" si="26"/>
        <v>0</v>
      </c>
      <c r="AG74" s="74">
        <f t="shared" si="27"/>
        <v>0</v>
      </c>
      <c r="AH74" s="71">
        <f t="shared" si="28"/>
        <v>0</v>
      </c>
      <c r="AI74" s="71">
        <f t="shared" si="29"/>
        <v>0</v>
      </c>
      <c r="AJ74" s="71">
        <f t="shared" si="56"/>
        <v>0</v>
      </c>
      <c r="AK74" s="71">
        <f t="shared" si="31"/>
        <v>0</v>
      </c>
      <c r="AL74" s="71">
        <f t="shared" si="32"/>
        <v>0</v>
      </c>
      <c r="AM74" s="71">
        <f t="shared" si="57"/>
        <v>0</v>
      </c>
      <c r="AN74" s="71">
        <f t="shared" si="58"/>
        <v>0</v>
      </c>
      <c r="AO74" s="71">
        <f t="shared" si="35"/>
        <v>0</v>
      </c>
      <c r="AP74" s="71">
        <f t="shared" si="36"/>
        <v>0</v>
      </c>
      <c r="AQ74" s="71">
        <f t="shared" si="37"/>
        <v>0</v>
      </c>
      <c r="AR74" s="71">
        <f t="shared" si="38"/>
        <v>0</v>
      </c>
      <c r="AS74" s="71">
        <f t="shared" si="39"/>
        <v>0</v>
      </c>
      <c r="AT74" s="71">
        <f t="shared" si="40"/>
        <v>0</v>
      </c>
      <c r="AU74" s="306">
        <f t="shared" si="41"/>
        <v>0</v>
      </c>
      <c r="AV74" s="71">
        <f t="shared" si="42"/>
        <v>0</v>
      </c>
      <c r="AW74" s="71">
        <f t="shared" si="43"/>
        <v>0</v>
      </c>
      <c r="AX74" s="71">
        <f t="shared" si="44"/>
        <v>0</v>
      </c>
      <c r="AY74" s="113">
        <f t="shared" si="59"/>
        <v>0</v>
      </c>
      <c r="AZ74" s="113">
        <f t="shared" si="71"/>
        <v>0</v>
      </c>
      <c r="BA74" s="113">
        <f aca="true" t="shared" si="72" ref="BA74:BM79">IF(kontonr=BA$5,$N74,0)</f>
        <v>0</v>
      </c>
      <c r="BB74" s="113">
        <f t="shared" si="72"/>
        <v>0</v>
      </c>
      <c r="BC74" s="113">
        <f t="shared" si="72"/>
        <v>0</v>
      </c>
      <c r="BD74" s="113">
        <f t="shared" si="72"/>
        <v>0</v>
      </c>
      <c r="BE74" s="113">
        <f t="shared" si="72"/>
        <v>0</v>
      </c>
      <c r="BF74" s="113">
        <f t="shared" si="72"/>
        <v>0</v>
      </c>
      <c r="BG74" s="113">
        <f t="shared" si="72"/>
        <v>0</v>
      </c>
      <c r="BH74" s="113">
        <f t="shared" si="72"/>
        <v>0</v>
      </c>
      <c r="BI74" s="113">
        <f t="shared" si="72"/>
        <v>0</v>
      </c>
      <c r="BJ74" s="113">
        <f t="shared" si="72"/>
        <v>0</v>
      </c>
      <c r="BK74" s="113">
        <f t="shared" si="72"/>
        <v>0</v>
      </c>
      <c r="BL74" s="113">
        <f t="shared" si="72"/>
        <v>0</v>
      </c>
      <c r="BM74" s="113">
        <f t="shared" si="72"/>
        <v>0</v>
      </c>
      <c r="BN74" s="113">
        <f t="shared" si="68"/>
        <v>0</v>
      </c>
      <c r="BO74" s="113">
        <f t="shared" si="68"/>
        <v>0</v>
      </c>
      <c r="BP74" s="113">
        <f t="shared" si="68"/>
        <v>0</v>
      </c>
      <c r="BQ74" s="113">
        <f t="shared" si="54"/>
        <v>0</v>
      </c>
      <c r="BR74" s="113">
        <f t="shared" si="54"/>
        <v>0</v>
      </c>
      <c r="BS74" s="113">
        <f t="shared" si="47"/>
        <v>0</v>
      </c>
      <c r="BT74" s="113">
        <f t="shared" si="48"/>
        <v>0</v>
      </c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08">
        <f t="shared" si="49"/>
      </c>
      <c r="CJ74" s="113"/>
      <c r="CK74" s="113"/>
      <c r="CL74" s="113"/>
      <c r="CM74" s="113"/>
    </row>
    <row r="75" spans="1:91" s="112" customFormat="1" ht="15" customHeight="1">
      <c r="A75" s="103"/>
      <c r="B75" s="104"/>
      <c r="C75" s="105"/>
      <c r="D75" s="106"/>
      <c r="E75" s="107">
        <f t="shared" si="60"/>
      </c>
      <c r="F75" s="108">
        <f t="shared" si="8"/>
      </c>
      <c r="G75" s="109"/>
      <c r="H75" s="110"/>
      <c r="I75" s="486">
        <f t="shared" si="61"/>
        <v>0</v>
      </c>
      <c r="J75" s="486">
        <f t="shared" si="3"/>
        <v>0</v>
      </c>
      <c r="K75" s="486">
        <f t="shared" si="4"/>
        <v>0</v>
      </c>
      <c r="L75" s="111">
        <f t="shared" si="10"/>
        <v>0</v>
      </c>
      <c r="M75" s="176">
        <f t="shared" si="55"/>
        <v>0</v>
      </c>
      <c r="N75" s="177">
        <f t="shared" si="70"/>
        <v>0</v>
      </c>
      <c r="P75" s="306">
        <f t="shared" si="12"/>
        <v>0</v>
      </c>
      <c r="Q75" s="71">
        <f t="shared" si="13"/>
        <v>0</v>
      </c>
      <c r="R75" s="71">
        <f t="shared" si="14"/>
        <v>0</v>
      </c>
      <c r="S75" s="71">
        <f t="shared" si="15"/>
        <v>0</v>
      </c>
      <c r="T75" s="71">
        <f>IF(kontonr&gt;1499,IF(kontonr&lt;1560,$N75),0)+IF(kontonr&gt;(Kontoplan!P$3-1),IF(kontonr&lt;(Kontoplan!P$3+300),$N75,0),0)</f>
        <v>0</v>
      </c>
      <c r="U75" s="71">
        <f t="shared" si="16"/>
        <v>0</v>
      </c>
      <c r="V75" s="71">
        <f t="shared" si="17"/>
        <v>0</v>
      </c>
      <c r="W75" s="71">
        <f t="shared" si="18"/>
        <v>0</v>
      </c>
      <c r="X75" s="71">
        <f t="shared" si="19"/>
        <v>0</v>
      </c>
      <c r="Y75" s="71">
        <f t="shared" si="20"/>
        <v>0</v>
      </c>
      <c r="Z75" s="71">
        <f>IF(kontonr&gt;2399,IF(kontonr&lt;2500,$N75),0)+IF(kontonr&gt;(Kontoplan!$P$4-1),IF(kontonr&lt;(Kontoplan!$P$4+600),$N75,0),0)</f>
        <v>0</v>
      </c>
      <c r="AA75" s="71">
        <f t="shared" si="21"/>
        <v>0</v>
      </c>
      <c r="AB75" s="71">
        <f t="shared" si="22"/>
        <v>0</v>
      </c>
      <c r="AC75" s="71">
        <f t="shared" si="23"/>
        <v>0</v>
      </c>
      <c r="AD75" s="71">
        <f t="shared" si="24"/>
        <v>0</v>
      </c>
      <c r="AE75" s="71">
        <f t="shared" si="25"/>
        <v>0</v>
      </c>
      <c r="AF75" s="306">
        <f t="shared" si="26"/>
        <v>0</v>
      </c>
      <c r="AG75" s="74">
        <f t="shared" si="27"/>
        <v>0</v>
      </c>
      <c r="AH75" s="71">
        <f t="shared" si="28"/>
        <v>0</v>
      </c>
      <c r="AI75" s="71">
        <f t="shared" si="29"/>
        <v>0</v>
      </c>
      <c r="AJ75" s="71">
        <f t="shared" si="56"/>
        <v>0</v>
      </c>
      <c r="AK75" s="71">
        <f t="shared" si="31"/>
        <v>0</v>
      </c>
      <c r="AL75" s="71">
        <f t="shared" si="32"/>
        <v>0</v>
      </c>
      <c r="AM75" s="71">
        <f t="shared" si="57"/>
        <v>0</v>
      </c>
      <c r="AN75" s="71">
        <f t="shared" si="58"/>
        <v>0</v>
      </c>
      <c r="AO75" s="71">
        <f t="shared" si="35"/>
        <v>0</v>
      </c>
      <c r="AP75" s="71">
        <f t="shared" si="36"/>
        <v>0</v>
      </c>
      <c r="AQ75" s="71">
        <f t="shared" si="37"/>
        <v>0</v>
      </c>
      <c r="AR75" s="71">
        <f t="shared" si="38"/>
        <v>0</v>
      </c>
      <c r="AS75" s="71">
        <f t="shared" si="39"/>
        <v>0</v>
      </c>
      <c r="AT75" s="71">
        <f t="shared" si="40"/>
        <v>0</v>
      </c>
      <c r="AU75" s="306">
        <f t="shared" si="41"/>
        <v>0</v>
      </c>
      <c r="AV75" s="71">
        <f t="shared" si="42"/>
        <v>0</v>
      </c>
      <c r="AW75" s="71">
        <f t="shared" si="43"/>
        <v>0</v>
      </c>
      <c r="AX75" s="71">
        <f t="shared" si="44"/>
        <v>0</v>
      </c>
      <c r="AY75" s="113">
        <f t="shared" si="59"/>
        <v>0</v>
      </c>
      <c r="AZ75" s="113">
        <f t="shared" si="71"/>
        <v>0</v>
      </c>
      <c r="BA75" s="113">
        <f t="shared" si="72"/>
        <v>0</v>
      </c>
      <c r="BB75" s="113">
        <f t="shared" si="72"/>
        <v>0</v>
      </c>
      <c r="BC75" s="113">
        <f t="shared" si="72"/>
        <v>0</v>
      </c>
      <c r="BD75" s="113">
        <f t="shared" si="72"/>
        <v>0</v>
      </c>
      <c r="BE75" s="113">
        <f t="shared" si="72"/>
        <v>0</v>
      </c>
      <c r="BF75" s="113">
        <f t="shared" si="72"/>
        <v>0</v>
      </c>
      <c r="BG75" s="113">
        <f t="shared" si="72"/>
        <v>0</v>
      </c>
      <c r="BH75" s="113">
        <f t="shared" si="72"/>
        <v>0</v>
      </c>
      <c r="BI75" s="113">
        <f t="shared" si="72"/>
        <v>0</v>
      </c>
      <c r="BJ75" s="113">
        <f t="shared" si="72"/>
        <v>0</v>
      </c>
      <c r="BK75" s="113">
        <f t="shared" si="72"/>
        <v>0</v>
      </c>
      <c r="BL75" s="113">
        <f t="shared" si="72"/>
        <v>0</v>
      </c>
      <c r="BM75" s="113">
        <f t="shared" si="72"/>
        <v>0</v>
      </c>
      <c r="BN75" s="113">
        <f t="shared" si="68"/>
        <v>0</v>
      </c>
      <c r="BO75" s="113">
        <f t="shared" si="68"/>
        <v>0</v>
      </c>
      <c r="BP75" s="113">
        <f t="shared" si="68"/>
        <v>0</v>
      </c>
      <c r="BQ75" s="113">
        <f t="shared" si="54"/>
        <v>0</v>
      </c>
      <c r="BR75" s="113">
        <f t="shared" si="54"/>
        <v>0</v>
      </c>
      <c r="BS75" s="113">
        <f t="shared" si="47"/>
        <v>0</v>
      </c>
      <c r="BT75" s="113">
        <f t="shared" si="48"/>
        <v>0</v>
      </c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08">
        <f t="shared" si="49"/>
      </c>
      <c r="CJ75" s="113"/>
      <c r="CK75" s="113"/>
      <c r="CL75" s="113"/>
      <c r="CM75" s="113"/>
    </row>
    <row r="76" spans="1:91" s="112" customFormat="1" ht="15" customHeight="1">
      <c r="A76" s="103"/>
      <c r="B76" s="104"/>
      <c r="C76" s="105"/>
      <c r="D76" s="106"/>
      <c r="E76" s="107">
        <f t="shared" si="60"/>
      </c>
      <c r="F76" s="108">
        <f t="shared" si="8"/>
      </c>
      <c r="G76" s="109"/>
      <c r="H76" s="110"/>
      <c r="I76" s="486">
        <f t="shared" si="61"/>
        <v>0</v>
      </c>
      <c r="J76" s="486">
        <f t="shared" si="3"/>
        <v>0</v>
      </c>
      <c r="K76" s="486">
        <f t="shared" si="4"/>
        <v>0</v>
      </c>
      <c r="L76" s="111">
        <f t="shared" si="10"/>
        <v>0</v>
      </c>
      <c r="M76" s="176">
        <f t="shared" si="55"/>
        <v>0</v>
      </c>
      <c r="N76" s="177">
        <f t="shared" si="70"/>
        <v>0</v>
      </c>
      <c r="P76" s="306">
        <f t="shared" si="12"/>
        <v>0</v>
      </c>
      <c r="Q76" s="71">
        <f t="shared" si="13"/>
        <v>0</v>
      </c>
      <c r="R76" s="71">
        <f t="shared" si="14"/>
        <v>0</v>
      </c>
      <c r="S76" s="71">
        <f t="shared" si="15"/>
        <v>0</v>
      </c>
      <c r="T76" s="71">
        <f>IF(kontonr&gt;1499,IF(kontonr&lt;1560,$N76),0)+IF(kontonr&gt;(Kontoplan!P$3-1),IF(kontonr&lt;(Kontoplan!P$3+300),$N76,0),0)</f>
        <v>0</v>
      </c>
      <c r="U76" s="71">
        <f t="shared" si="16"/>
        <v>0</v>
      </c>
      <c r="V76" s="71">
        <f t="shared" si="17"/>
        <v>0</v>
      </c>
      <c r="W76" s="71">
        <f t="shared" si="18"/>
        <v>0</v>
      </c>
      <c r="X76" s="71">
        <f t="shared" si="19"/>
        <v>0</v>
      </c>
      <c r="Y76" s="71">
        <f t="shared" si="20"/>
        <v>0</v>
      </c>
      <c r="Z76" s="71">
        <f>IF(kontonr&gt;2399,IF(kontonr&lt;2500,$N76),0)+IF(kontonr&gt;(Kontoplan!$P$4-1),IF(kontonr&lt;(Kontoplan!$P$4+600),$N76,0),0)</f>
        <v>0</v>
      </c>
      <c r="AA76" s="71">
        <f t="shared" si="21"/>
        <v>0</v>
      </c>
      <c r="AB76" s="71">
        <f t="shared" si="22"/>
        <v>0</v>
      </c>
      <c r="AC76" s="71">
        <f t="shared" si="23"/>
        <v>0</v>
      </c>
      <c r="AD76" s="71">
        <f t="shared" si="24"/>
        <v>0</v>
      </c>
      <c r="AE76" s="71">
        <f t="shared" si="25"/>
        <v>0</v>
      </c>
      <c r="AF76" s="306">
        <f t="shared" si="26"/>
        <v>0</v>
      </c>
      <c r="AG76" s="74">
        <f t="shared" si="27"/>
        <v>0</v>
      </c>
      <c r="AH76" s="71">
        <f t="shared" si="28"/>
        <v>0</v>
      </c>
      <c r="AI76" s="71">
        <f t="shared" si="29"/>
        <v>0</v>
      </c>
      <c r="AJ76" s="71">
        <f t="shared" si="56"/>
        <v>0</v>
      </c>
      <c r="AK76" s="71">
        <f t="shared" si="31"/>
        <v>0</v>
      </c>
      <c r="AL76" s="71">
        <f t="shared" si="32"/>
        <v>0</v>
      </c>
      <c r="AM76" s="71">
        <f t="shared" si="57"/>
        <v>0</v>
      </c>
      <c r="AN76" s="71">
        <f t="shared" si="58"/>
        <v>0</v>
      </c>
      <c r="AO76" s="71">
        <f t="shared" si="35"/>
        <v>0</v>
      </c>
      <c r="AP76" s="71">
        <f t="shared" si="36"/>
        <v>0</v>
      </c>
      <c r="AQ76" s="71">
        <f t="shared" si="37"/>
        <v>0</v>
      </c>
      <c r="AR76" s="71">
        <f t="shared" si="38"/>
        <v>0</v>
      </c>
      <c r="AS76" s="71">
        <f t="shared" si="39"/>
        <v>0</v>
      </c>
      <c r="AT76" s="71">
        <f t="shared" si="40"/>
        <v>0</v>
      </c>
      <c r="AU76" s="306">
        <f t="shared" si="41"/>
        <v>0</v>
      </c>
      <c r="AV76" s="71">
        <f t="shared" si="42"/>
        <v>0</v>
      </c>
      <c r="AW76" s="71">
        <f t="shared" si="43"/>
        <v>0</v>
      </c>
      <c r="AX76" s="71">
        <f t="shared" si="44"/>
        <v>0</v>
      </c>
      <c r="AY76" s="113">
        <f t="shared" si="59"/>
        <v>0</v>
      </c>
      <c r="AZ76" s="113">
        <f t="shared" si="71"/>
        <v>0</v>
      </c>
      <c r="BA76" s="113">
        <f t="shared" si="72"/>
        <v>0</v>
      </c>
      <c r="BB76" s="113">
        <f t="shared" si="72"/>
        <v>0</v>
      </c>
      <c r="BC76" s="113">
        <f t="shared" si="72"/>
        <v>0</v>
      </c>
      <c r="BD76" s="113">
        <f t="shared" si="72"/>
        <v>0</v>
      </c>
      <c r="BE76" s="113">
        <f t="shared" si="72"/>
        <v>0</v>
      </c>
      <c r="BF76" s="113">
        <f t="shared" si="72"/>
        <v>0</v>
      </c>
      <c r="BG76" s="113">
        <f t="shared" si="72"/>
        <v>0</v>
      </c>
      <c r="BH76" s="113">
        <f t="shared" si="72"/>
        <v>0</v>
      </c>
      <c r="BI76" s="113">
        <f t="shared" si="72"/>
        <v>0</v>
      </c>
      <c r="BJ76" s="113">
        <f t="shared" si="72"/>
        <v>0</v>
      </c>
      <c r="BK76" s="113">
        <f t="shared" si="72"/>
        <v>0</v>
      </c>
      <c r="BL76" s="113">
        <f t="shared" si="72"/>
        <v>0</v>
      </c>
      <c r="BM76" s="113">
        <f t="shared" si="72"/>
        <v>0</v>
      </c>
      <c r="BN76" s="113">
        <f t="shared" si="68"/>
        <v>0</v>
      </c>
      <c r="BO76" s="113">
        <f t="shared" si="68"/>
        <v>0</v>
      </c>
      <c r="BP76" s="113">
        <f t="shared" si="68"/>
        <v>0</v>
      </c>
      <c r="BQ76" s="113">
        <f t="shared" si="54"/>
        <v>0</v>
      </c>
      <c r="BR76" s="113">
        <f t="shared" si="54"/>
        <v>0</v>
      </c>
      <c r="BS76" s="113">
        <f t="shared" si="47"/>
        <v>0</v>
      </c>
      <c r="BT76" s="113">
        <f t="shared" si="48"/>
        <v>0</v>
      </c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08">
        <f t="shared" si="49"/>
      </c>
      <c r="CJ76" s="113"/>
      <c r="CK76" s="113"/>
      <c r="CL76" s="113"/>
      <c r="CM76" s="113"/>
    </row>
    <row r="77" spans="1:91" s="112" customFormat="1" ht="15" customHeight="1">
      <c r="A77" s="103"/>
      <c r="B77" s="104"/>
      <c r="C77" s="105"/>
      <c r="D77" s="106"/>
      <c r="E77" s="107">
        <f t="shared" si="60"/>
      </c>
      <c r="F77" s="108">
        <f t="shared" si="8"/>
      </c>
      <c r="G77" s="109"/>
      <c r="H77" s="110"/>
      <c r="I77" s="486">
        <f t="shared" si="61"/>
        <v>0</v>
      </c>
      <c r="J77" s="486">
        <f t="shared" si="3"/>
        <v>0</v>
      </c>
      <c r="K77" s="486">
        <f t="shared" si="4"/>
        <v>0</v>
      </c>
      <c r="L77" s="111">
        <f t="shared" si="10"/>
        <v>0</v>
      </c>
      <c r="M77" s="176">
        <f t="shared" si="55"/>
        <v>0</v>
      </c>
      <c r="N77" s="177">
        <f t="shared" si="70"/>
        <v>0</v>
      </c>
      <c r="P77" s="306">
        <f t="shared" si="12"/>
        <v>0</v>
      </c>
      <c r="Q77" s="71">
        <f t="shared" si="13"/>
        <v>0</v>
      </c>
      <c r="R77" s="71">
        <f t="shared" si="14"/>
        <v>0</v>
      </c>
      <c r="S77" s="71">
        <f t="shared" si="15"/>
        <v>0</v>
      </c>
      <c r="T77" s="71">
        <f>IF(kontonr&gt;1499,IF(kontonr&lt;1560,$N77),0)+IF(kontonr&gt;(Kontoplan!P$3-1),IF(kontonr&lt;(Kontoplan!P$3+300),$N77,0),0)</f>
        <v>0</v>
      </c>
      <c r="U77" s="71">
        <f t="shared" si="16"/>
        <v>0</v>
      </c>
      <c r="V77" s="71">
        <f t="shared" si="17"/>
        <v>0</v>
      </c>
      <c r="W77" s="71">
        <f t="shared" si="18"/>
        <v>0</v>
      </c>
      <c r="X77" s="71">
        <f t="shared" si="19"/>
        <v>0</v>
      </c>
      <c r="Y77" s="71">
        <f t="shared" si="20"/>
        <v>0</v>
      </c>
      <c r="Z77" s="71">
        <f>IF(kontonr&gt;2399,IF(kontonr&lt;2500,$N77),0)+IF(kontonr&gt;(Kontoplan!$P$4-1),IF(kontonr&lt;(Kontoplan!$P$4+600),$N77,0),0)</f>
        <v>0</v>
      </c>
      <c r="AA77" s="71">
        <f t="shared" si="21"/>
        <v>0</v>
      </c>
      <c r="AB77" s="71">
        <f t="shared" si="22"/>
        <v>0</v>
      </c>
      <c r="AC77" s="71">
        <f t="shared" si="23"/>
        <v>0</v>
      </c>
      <c r="AD77" s="71">
        <f t="shared" si="24"/>
        <v>0</v>
      </c>
      <c r="AE77" s="71">
        <f t="shared" si="25"/>
        <v>0</v>
      </c>
      <c r="AF77" s="306">
        <f t="shared" si="26"/>
        <v>0</v>
      </c>
      <c r="AG77" s="74">
        <f t="shared" si="27"/>
        <v>0</v>
      </c>
      <c r="AH77" s="71">
        <f t="shared" si="28"/>
        <v>0</v>
      </c>
      <c r="AI77" s="71">
        <f t="shared" si="29"/>
        <v>0</v>
      </c>
      <c r="AJ77" s="71">
        <f t="shared" si="56"/>
        <v>0</v>
      </c>
      <c r="AK77" s="71">
        <f t="shared" si="31"/>
        <v>0</v>
      </c>
      <c r="AL77" s="71">
        <f t="shared" si="32"/>
        <v>0</v>
      </c>
      <c r="AM77" s="71">
        <f t="shared" si="57"/>
        <v>0</v>
      </c>
      <c r="AN77" s="71">
        <f t="shared" si="58"/>
        <v>0</v>
      </c>
      <c r="AO77" s="71">
        <f t="shared" si="35"/>
        <v>0</v>
      </c>
      <c r="AP77" s="71">
        <f t="shared" si="36"/>
        <v>0</v>
      </c>
      <c r="AQ77" s="71">
        <f t="shared" si="37"/>
        <v>0</v>
      </c>
      <c r="AR77" s="71">
        <f t="shared" si="38"/>
        <v>0</v>
      </c>
      <c r="AS77" s="71">
        <f t="shared" si="39"/>
        <v>0</v>
      </c>
      <c r="AT77" s="71">
        <f t="shared" si="40"/>
        <v>0</v>
      </c>
      <c r="AU77" s="306">
        <f t="shared" si="41"/>
        <v>0</v>
      </c>
      <c r="AV77" s="71">
        <f t="shared" si="42"/>
        <v>0</v>
      </c>
      <c r="AW77" s="71">
        <f t="shared" si="43"/>
        <v>0</v>
      </c>
      <c r="AX77" s="71">
        <f t="shared" si="44"/>
        <v>0</v>
      </c>
      <c r="AY77" s="113">
        <f t="shared" si="59"/>
        <v>0</v>
      </c>
      <c r="AZ77" s="113">
        <f t="shared" si="71"/>
        <v>0</v>
      </c>
      <c r="BA77" s="113">
        <f t="shared" si="72"/>
        <v>0</v>
      </c>
      <c r="BB77" s="113">
        <f t="shared" si="72"/>
        <v>0</v>
      </c>
      <c r="BC77" s="113">
        <f t="shared" si="72"/>
        <v>0</v>
      </c>
      <c r="BD77" s="113">
        <f t="shared" si="72"/>
        <v>0</v>
      </c>
      <c r="BE77" s="113">
        <f t="shared" si="72"/>
        <v>0</v>
      </c>
      <c r="BF77" s="113">
        <f t="shared" si="72"/>
        <v>0</v>
      </c>
      <c r="BG77" s="113">
        <f t="shared" si="72"/>
        <v>0</v>
      </c>
      <c r="BH77" s="113">
        <f t="shared" si="72"/>
        <v>0</v>
      </c>
      <c r="BI77" s="113">
        <f t="shared" si="72"/>
        <v>0</v>
      </c>
      <c r="BJ77" s="113">
        <f t="shared" si="72"/>
        <v>0</v>
      </c>
      <c r="BK77" s="113">
        <f t="shared" si="72"/>
        <v>0</v>
      </c>
      <c r="BL77" s="113">
        <f t="shared" si="72"/>
        <v>0</v>
      </c>
      <c r="BM77" s="113">
        <f t="shared" si="72"/>
        <v>0</v>
      </c>
      <c r="BN77" s="113">
        <f t="shared" si="68"/>
        <v>0</v>
      </c>
      <c r="BO77" s="113">
        <f t="shared" si="68"/>
        <v>0</v>
      </c>
      <c r="BP77" s="113">
        <f t="shared" si="68"/>
        <v>0</v>
      </c>
      <c r="BQ77" s="113">
        <f t="shared" si="54"/>
        <v>0</v>
      </c>
      <c r="BR77" s="113">
        <f t="shared" si="54"/>
        <v>0</v>
      </c>
      <c r="BS77" s="113">
        <f t="shared" si="47"/>
        <v>0</v>
      </c>
      <c r="BT77" s="113">
        <f t="shared" si="48"/>
        <v>0</v>
      </c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08">
        <f t="shared" si="49"/>
      </c>
      <c r="CJ77" s="113"/>
      <c r="CK77" s="113"/>
      <c r="CL77" s="113"/>
      <c r="CM77" s="113"/>
    </row>
    <row r="78" spans="1:91" s="112" customFormat="1" ht="15" customHeight="1">
      <c r="A78" s="103"/>
      <c r="B78" s="104"/>
      <c r="C78" s="105"/>
      <c r="D78" s="106"/>
      <c r="E78" s="107">
        <f t="shared" si="60"/>
      </c>
      <c r="F78" s="108">
        <f t="shared" si="8"/>
      </c>
      <c r="G78" s="109"/>
      <c r="H78" s="110"/>
      <c r="I78" s="486">
        <f t="shared" si="61"/>
        <v>0</v>
      </c>
      <c r="J78" s="486">
        <f t="shared" si="3"/>
        <v>0</v>
      </c>
      <c r="K78" s="486">
        <f t="shared" si="4"/>
        <v>0</v>
      </c>
      <c r="L78" s="111">
        <f t="shared" si="10"/>
        <v>0</v>
      </c>
      <c r="M78" s="176">
        <f t="shared" si="55"/>
        <v>0</v>
      </c>
      <c r="N78" s="177">
        <f t="shared" si="70"/>
        <v>0</v>
      </c>
      <c r="P78" s="306">
        <f t="shared" si="12"/>
        <v>0</v>
      </c>
      <c r="Q78" s="71">
        <f t="shared" si="13"/>
        <v>0</v>
      </c>
      <c r="R78" s="71">
        <f t="shared" si="14"/>
        <v>0</v>
      </c>
      <c r="S78" s="71">
        <f t="shared" si="15"/>
        <v>0</v>
      </c>
      <c r="T78" s="71">
        <f>IF(kontonr&gt;1499,IF(kontonr&lt;1560,$N78),0)+IF(kontonr&gt;(Kontoplan!P$3-1),IF(kontonr&lt;(Kontoplan!P$3+300),$N78,0),0)</f>
        <v>0</v>
      </c>
      <c r="U78" s="71">
        <f t="shared" si="16"/>
        <v>0</v>
      </c>
      <c r="V78" s="71">
        <f t="shared" si="17"/>
        <v>0</v>
      </c>
      <c r="W78" s="71">
        <f t="shared" si="18"/>
        <v>0</v>
      </c>
      <c r="X78" s="71">
        <f t="shared" si="19"/>
        <v>0</v>
      </c>
      <c r="Y78" s="71">
        <f t="shared" si="20"/>
        <v>0</v>
      </c>
      <c r="Z78" s="71">
        <f>IF(kontonr&gt;2399,IF(kontonr&lt;2500,$N78),0)+IF(kontonr&gt;(Kontoplan!$P$4-1),IF(kontonr&lt;(Kontoplan!$P$4+600),$N78,0),0)</f>
        <v>0</v>
      </c>
      <c r="AA78" s="71">
        <f t="shared" si="21"/>
        <v>0</v>
      </c>
      <c r="AB78" s="71">
        <f t="shared" si="22"/>
        <v>0</v>
      </c>
      <c r="AC78" s="71">
        <f t="shared" si="23"/>
        <v>0</v>
      </c>
      <c r="AD78" s="71">
        <f t="shared" si="24"/>
        <v>0</v>
      </c>
      <c r="AE78" s="71">
        <f t="shared" si="25"/>
        <v>0</v>
      </c>
      <c r="AF78" s="306">
        <f t="shared" si="26"/>
        <v>0</v>
      </c>
      <c r="AG78" s="74">
        <f t="shared" si="27"/>
        <v>0</v>
      </c>
      <c r="AH78" s="71">
        <f t="shared" si="28"/>
        <v>0</v>
      </c>
      <c r="AI78" s="71">
        <f t="shared" si="29"/>
        <v>0</v>
      </c>
      <c r="AJ78" s="71">
        <f t="shared" si="56"/>
        <v>0</v>
      </c>
      <c r="AK78" s="71">
        <f t="shared" si="31"/>
        <v>0</v>
      </c>
      <c r="AL78" s="71">
        <f t="shared" si="32"/>
        <v>0</v>
      </c>
      <c r="AM78" s="71">
        <f t="shared" si="57"/>
        <v>0</v>
      </c>
      <c r="AN78" s="71">
        <f t="shared" si="58"/>
        <v>0</v>
      </c>
      <c r="AO78" s="71">
        <f t="shared" si="35"/>
        <v>0</v>
      </c>
      <c r="AP78" s="71">
        <f t="shared" si="36"/>
        <v>0</v>
      </c>
      <c r="AQ78" s="71">
        <f t="shared" si="37"/>
        <v>0</v>
      </c>
      <c r="AR78" s="71">
        <f t="shared" si="38"/>
        <v>0</v>
      </c>
      <c r="AS78" s="71">
        <f t="shared" si="39"/>
        <v>0</v>
      </c>
      <c r="AT78" s="71">
        <f t="shared" si="40"/>
        <v>0</v>
      </c>
      <c r="AU78" s="306">
        <f t="shared" si="41"/>
        <v>0</v>
      </c>
      <c r="AV78" s="71">
        <f t="shared" si="42"/>
        <v>0</v>
      </c>
      <c r="AW78" s="71">
        <f t="shared" si="43"/>
        <v>0</v>
      </c>
      <c r="AX78" s="71">
        <f t="shared" si="44"/>
        <v>0</v>
      </c>
      <c r="AY78" s="113">
        <f t="shared" si="59"/>
        <v>0</v>
      </c>
      <c r="AZ78" s="113">
        <f t="shared" si="71"/>
        <v>0</v>
      </c>
      <c r="BA78" s="113">
        <f t="shared" si="72"/>
        <v>0</v>
      </c>
      <c r="BB78" s="113">
        <f t="shared" si="72"/>
        <v>0</v>
      </c>
      <c r="BC78" s="113">
        <f t="shared" si="72"/>
        <v>0</v>
      </c>
      <c r="BD78" s="113">
        <f t="shared" si="72"/>
        <v>0</v>
      </c>
      <c r="BE78" s="113">
        <f t="shared" si="72"/>
        <v>0</v>
      </c>
      <c r="BF78" s="113">
        <f t="shared" si="72"/>
        <v>0</v>
      </c>
      <c r="BG78" s="113">
        <f t="shared" si="72"/>
        <v>0</v>
      </c>
      <c r="BH78" s="113">
        <f t="shared" si="72"/>
        <v>0</v>
      </c>
      <c r="BI78" s="113">
        <f t="shared" si="72"/>
        <v>0</v>
      </c>
      <c r="BJ78" s="113">
        <f t="shared" si="72"/>
        <v>0</v>
      </c>
      <c r="BK78" s="113">
        <f t="shared" si="72"/>
        <v>0</v>
      </c>
      <c r="BL78" s="113">
        <f t="shared" si="72"/>
        <v>0</v>
      </c>
      <c r="BM78" s="113">
        <f t="shared" si="72"/>
        <v>0</v>
      </c>
      <c r="BN78" s="113">
        <f t="shared" si="68"/>
        <v>0</v>
      </c>
      <c r="BO78" s="113">
        <f t="shared" si="68"/>
        <v>0</v>
      </c>
      <c r="BP78" s="113">
        <f t="shared" si="68"/>
        <v>0</v>
      </c>
      <c r="BQ78" s="113">
        <f t="shared" si="54"/>
        <v>0</v>
      </c>
      <c r="BR78" s="113">
        <f t="shared" si="54"/>
        <v>0</v>
      </c>
      <c r="BS78" s="113">
        <f t="shared" si="47"/>
        <v>0</v>
      </c>
      <c r="BT78" s="113">
        <f t="shared" si="48"/>
        <v>0</v>
      </c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08">
        <f t="shared" si="49"/>
      </c>
      <c r="CJ78" s="113"/>
      <c r="CK78" s="113"/>
      <c r="CL78" s="113"/>
      <c r="CM78" s="113"/>
    </row>
    <row r="79" spans="1:91" s="112" customFormat="1" ht="15" customHeight="1">
      <c r="A79" s="103"/>
      <c r="B79" s="104"/>
      <c r="C79" s="105"/>
      <c r="D79" s="106"/>
      <c r="E79" s="107">
        <f t="shared" si="60"/>
      </c>
      <c r="F79" s="108">
        <f t="shared" si="8"/>
      </c>
      <c r="G79" s="109"/>
      <c r="H79" s="110"/>
      <c r="I79" s="486">
        <f t="shared" si="61"/>
        <v>0</v>
      </c>
      <c r="J79" s="486">
        <f t="shared" si="3"/>
        <v>0</v>
      </c>
      <c r="K79" s="486">
        <f t="shared" si="4"/>
        <v>0</v>
      </c>
      <c r="L79" s="111">
        <f t="shared" si="10"/>
        <v>0</v>
      </c>
      <c r="M79" s="176">
        <f t="shared" si="55"/>
        <v>0</v>
      </c>
      <c r="N79" s="177">
        <f t="shared" si="70"/>
        <v>0</v>
      </c>
      <c r="P79" s="306">
        <f t="shared" si="12"/>
        <v>0</v>
      </c>
      <c r="Q79" s="71">
        <f t="shared" si="13"/>
        <v>0</v>
      </c>
      <c r="R79" s="71">
        <f t="shared" si="14"/>
        <v>0</v>
      </c>
      <c r="S79" s="71">
        <f t="shared" si="15"/>
        <v>0</v>
      </c>
      <c r="T79" s="71">
        <f>IF(kontonr&gt;1499,IF(kontonr&lt;1560,$N79),0)+IF(kontonr&gt;(Kontoplan!P$3-1),IF(kontonr&lt;(Kontoplan!P$3+300),$N79,0),0)</f>
        <v>0</v>
      </c>
      <c r="U79" s="71">
        <f t="shared" si="16"/>
        <v>0</v>
      </c>
      <c r="V79" s="71">
        <f t="shared" si="17"/>
        <v>0</v>
      </c>
      <c r="W79" s="71">
        <f t="shared" si="18"/>
        <v>0</v>
      </c>
      <c r="X79" s="71">
        <f t="shared" si="19"/>
        <v>0</v>
      </c>
      <c r="Y79" s="71">
        <f t="shared" si="20"/>
        <v>0</v>
      </c>
      <c r="Z79" s="71">
        <f>IF(kontonr&gt;2399,IF(kontonr&lt;2500,$N79),0)+IF(kontonr&gt;(Kontoplan!$P$4-1),IF(kontonr&lt;(Kontoplan!$P$4+600),$N79,0),0)</f>
        <v>0</v>
      </c>
      <c r="AA79" s="71">
        <f t="shared" si="21"/>
        <v>0</v>
      </c>
      <c r="AB79" s="71">
        <f t="shared" si="22"/>
        <v>0</v>
      </c>
      <c r="AC79" s="71">
        <f t="shared" si="23"/>
        <v>0</v>
      </c>
      <c r="AD79" s="71">
        <f t="shared" si="24"/>
        <v>0</v>
      </c>
      <c r="AE79" s="71">
        <f t="shared" si="25"/>
        <v>0</v>
      </c>
      <c r="AF79" s="306">
        <f t="shared" si="26"/>
        <v>0</v>
      </c>
      <c r="AG79" s="74">
        <f t="shared" si="27"/>
        <v>0</v>
      </c>
      <c r="AH79" s="71">
        <f t="shared" si="28"/>
        <v>0</v>
      </c>
      <c r="AI79" s="71">
        <f t="shared" si="29"/>
        <v>0</v>
      </c>
      <c r="AJ79" s="71">
        <f t="shared" si="56"/>
        <v>0</v>
      </c>
      <c r="AK79" s="71">
        <f t="shared" si="31"/>
        <v>0</v>
      </c>
      <c r="AL79" s="71">
        <f t="shared" si="32"/>
        <v>0</v>
      </c>
      <c r="AM79" s="71">
        <f t="shared" si="57"/>
        <v>0</v>
      </c>
      <c r="AN79" s="71">
        <f t="shared" si="58"/>
        <v>0</v>
      </c>
      <c r="AO79" s="71">
        <f t="shared" si="35"/>
        <v>0</v>
      </c>
      <c r="AP79" s="71">
        <f t="shared" si="36"/>
        <v>0</v>
      </c>
      <c r="AQ79" s="71">
        <f t="shared" si="37"/>
        <v>0</v>
      </c>
      <c r="AR79" s="71">
        <f t="shared" si="38"/>
        <v>0</v>
      </c>
      <c r="AS79" s="71">
        <f t="shared" si="39"/>
        <v>0</v>
      </c>
      <c r="AT79" s="71">
        <f t="shared" si="40"/>
        <v>0</v>
      </c>
      <c r="AU79" s="306">
        <f t="shared" si="41"/>
        <v>0</v>
      </c>
      <c r="AV79" s="71">
        <f t="shared" si="42"/>
        <v>0</v>
      </c>
      <c r="AW79" s="71">
        <f t="shared" si="43"/>
        <v>0</v>
      </c>
      <c r="AX79" s="71">
        <f t="shared" si="44"/>
        <v>0</v>
      </c>
      <c r="AY79" s="113">
        <f t="shared" si="59"/>
        <v>0</v>
      </c>
      <c r="AZ79" s="113">
        <f t="shared" si="71"/>
        <v>0</v>
      </c>
      <c r="BA79" s="113">
        <f t="shared" si="72"/>
        <v>0</v>
      </c>
      <c r="BB79" s="113">
        <f t="shared" si="72"/>
        <v>0</v>
      </c>
      <c r="BC79" s="113">
        <f t="shared" si="72"/>
        <v>0</v>
      </c>
      <c r="BD79" s="113">
        <f t="shared" si="72"/>
        <v>0</v>
      </c>
      <c r="BE79" s="113">
        <f t="shared" si="72"/>
        <v>0</v>
      </c>
      <c r="BF79" s="113">
        <f t="shared" si="72"/>
        <v>0</v>
      </c>
      <c r="BG79" s="113">
        <f t="shared" si="72"/>
        <v>0</v>
      </c>
      <c r="BH79" s="113">
        <f t="shared" si="72"/>
        <v>0</v>
      </c>
      <c r="BI79" s="113">
        <f t="shared" si="72"/>
        <v>0</v>
      </c>
      <c r="BJ79" s="113">
        <f t="shared" si="72"/>
        <v>0</v>
      </c>
      <c r="BK79" s="113">
        <f t="shared" si="72"/>
        <v>0</v>
      </c>
      <c r="BL79" s="113">
        <f t="shared" si="72"/>
        <v>0</v>
      </c>
      <c r="BM79" s="113">
        <f t="shared" si="72"/>
        <v>0</v>
      </c>
      <c r="BN79" s="113">
        <f t="shared" si="68"/>
        <v>0</v>
      </c>
      <c r="BO79" s="113">
        <f t="shared" si="68"/>
        <v>0</v>
      </c>
      <c r="BP79" s="113">
        <f t="shared" si="68"/>
        <v>0</v>
      </c>
      <c r="BQ79" s="113">
        <f t="shared" si="54"/>
        <v>0</v>
      </c>
      <c r="BR79" s="113">
        <f t="shared" si="54"/>
        <v>0</v>
      </c>
      <c r="BS79" s="113">
        <f t="shared" si="47"/>
        <v>0</v>
      </c>
      <c r="BT79" s="113">
        <f t="shared" si="48"/>
        <v>0</v>
      </c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08">
        <f t="shared" si="49"/>
      </c>
      <c r="CJ79" s="113"/>
      <c r="CK79" s="113"/>
      <c r="CL79" s="113"/>
      <c r="CM79" s="113"/>
    </row>
    <row r="80" spans="1:91" s="112" customFormat="1" ht="15" customHeight="1">
      <c r="A80" s="103"/>
      <c r="B80" s="104"/>
      <c r="C80" s="105"/>
      <c r="D80" s="106"/>
      <c r="E80" s="107">
        <f t="shared" si="60"/>
      </c>
      <c r="F80" s="108">
        <f t="shared" si="8"/>
      </c>
      <c r="G80" s="109"/>
      <c r="H80" s="110"/>
      <c r="I80" s="486">
        <f t="shared" si="61"/>
        <v>0</v>
      </c>
      <c r="J80" s="486">
        <f t="shared" si="3"/>
        <v>0</v>
      </c>
      <c r="K80" s="486">
        <f t="shared" si="4"/>
        <v>0</v>
      </c>
      <c r="L80" s="111">
        <f t="shared" si="10"/>
        <v>0</v>
      </c>
      <c r="M80" s="176">
        <f t="shared" si="55"/>
        <v>0</v>
      </c>
      <c r="N80" s="177">
        <f t="shared" si="70"/>
        <v>0</v>
      </c>
      <c r="P80" s="306">
        <f t="shared" si="12"/>
        <v>0</v>
      </c>
      <c r="Q80" s="71">
        <f t="shared" si="13"/>
        <v>0</v>
      </c>
      <c r="R80" s="71">
        <f t="shared" si="14"/>
        <v>0</v>
      </c>
      <c r="S80" s="71">
        <f t="shared" si="15"/>
        <v>0</v>
      </c>
      <c r="T80" s="71">
        <f>IF(kontonr&gt;1499,IF(kontonr&lt;1560,$N80),0)+IF(kontonr&gt;(Kontoplan!P$3-1),IF(kontonr&lt;(Kontoplan!P$3+300),$N80,0),0)</f>
        <v>0</v>
      </c>
      <c r="U80" s="71">
        <f t="shared" si="16"/>
        <v>0</v>
      </c>
      <c r="V80" s="71">
        <f t="shared" si="17"/>
        <v>0</v>
      </c>
      <c r="W80" s="71">
        <f t="shared" si="18"/>
        <v>0</v>
      </c>
      <c r="X80" s="71">
        <f t="shared" si="19"/>
        <v>0</v>
      </c>
      <c r="Y80" s="71">
        <f t="shared" si="20"/>
        <v>0</v>
      </c>
      <c r="Z80" s="71">
        <f>IF(kontonr&gt;2399,IF(kontonr&lt;2500,$N80),0)+IF(kontonr&gt;(Kontoplan!$P$4-1),IF(kontonr&lt;(Kontoplan!$P$4+600),$N80,0),0)</f>
        <v>0</v>
      </c>
      <c r="AA80" s="71">
        <f t="shared" si="21"/>
        <v>0</v>
      </c>
      <c r="AB80" s="71">
        <f t="shared" si="22"/>
        <v>0</v>
      </c>
      <c r="AC80" s="71">
        <f t="shared" si="23"/>
        <v>0</v>
      </c>
      <c r="AD80" s="71">
        <f t="shared" si="24"/>
        <v>0</v>
      </c>
      <c r="AE80" s="71">
        <f t="shared" si="25"/>
        <v>0</v>
      </c>
      <c r="AF80" s="306">
        <f t="shared" si="26"/>
        <v>0</v>
      </c>
      <c r="AG80" s="74">
        <f t="shared" si="27"/>
        <v>0</v>
      </c>
      <c r="AH80" s="71">
        <f t="shared" si="28"/>
        <v>0</v>
      </c>
      <c r="AI80" s="71">
        <f t="shared" si="29"/>
        <v>0</v>
      </c>
      <c r="AJ80" s="71">
        <f t="shared" si="56"/>
        <v>0</v>
      </c>
      <c r="AK80" s="71">
        <f t="shared" si="31"/>
        <v>0</v>
      </c>
      <c r="AL80" s="71">
        <f t="shared" si="32"/>
        <v>0</v>
      </c>
      <c r="AM80" s="71">
        <f t="shared" si="57"/>
        <v>0</v>
      </c>
      <c r="AN80" s="71">
        <f t="shared" si="58"/>
        <v>0</v>
      </c>
      <c r="AO80" s="71">
        <f t="shared" si="35"/>
        <v>0</v>
      </c>
      <c r="AP80" s="71">
        <f t="shared" si="36"/>
        <v>0</v>
      </c>
      <c r="AQ80" s="71">
        <f t="shared" si="37"/>
        <v>0</v>
      </c>
      <c r="AR80" s="71">
        <f t="shared" si="38"/>
        <v>0</v>
      </c>
      <c r="AS80" s="71">
        <f t="shared" si="39"/>
        <v>0</v>
      </c>
      <c r="AT80" s="71">
        <f t="shared" si="40"/>
        <v>0</v>
      </c>
      <c r="AU80" s="306">
        <f t="shared" si="41"/>
        <v>0</v>
      </c>
      <c r="AV80" s="71">
        <f t="shared" si="42"/>
        <v>0</v>
      </c>
      <c r="AW80" s="71">
        <f t="shared" si="43"/>
        <v>0</v>
      </c>
      <c r="AX80" s="71">
        <f t="shared" si="44"/>
        <v>0</v>
      </c>
      <c r="AY80" s="113">
        <f t="shared" si="59"/>
        <v>0</v>
      </c>
      <c r="AZ80" s="113">
        <f t="shared" si="71"/>
        <v>0</v>
      </c>
      <c r="BA80" s="113">
        <f aca="true" t="shared" si="73" ref="BA80:BL80">IF(kontonr=BA$5,$N80,0)</f>
        <v>0</v>
      </c>
      <c r="BB80" s="113">
        <f t="shared" si="73"/>
        <v>0</v>
      </c>
      <c r="BC80" s="113">
        <f t="shared" si="73"/>
        <v>0</v>
      </c>
      <c r="BD80" s="113">
        <f t="shared" si="73"/>
        <v>0</v>
      </c>
      <c r="BE80" s="113">
        <f t="shared" si="73"/>
        <v>0</v>
      </c>
      <c r="BF80" s="113">
        <f t="shared" si="73"/>
        <v>0</v>
      </c>
      <c r="BG80" s="113">
        <f t="shared" si="73"/>
        <v>0</v>
      </c>
      <c r="BH80" s="113">
        <f t="shared" si="73"/>
        <v>0</v>
      </c>
      <c r="BI80" s="113">
        <f t="shared" si="73"/>
        <v>0</v>
      </c>
      <c r="BJ80" s="113">
        <f t="shared" si="73"/>
        <v>0</v>
      </c>
      <c r="BK80" s="113">
        <f t="shared" si="73"/>
        <v>0</v>
      </c>
      <c r="BL80" s="113">
        <f t="shared" si="73"/>
        <v>0</v>
      </c>
      <c r="BM80" s="113">
        <f aca="true" t="shared" si="74" ref="BA80:BP96">IF(kontonr=BM$5,$N80,0)</f>
        <v>0</v>
      </c>
      <c r="BN80" s="113">
        <f t="shared" si="74"/>
        <v>0</v>
      </c>
      <c r="BO80" s="113">
        <f t="shared" si="74"/>
        <v>0</v>
      </c>
      <c r="BP80" s="113">
        <f t="shared" si="74"/>
        <v>0</v>
      </c>
      <c r="BQ80" s="113">
        <f t="shared" si="54"/>
        <v>0</v>
      </c>
      <c r="BR80" s="113">
        <f t="shared" si="54"/>
        <v>0</v>
      </c>
      <c r="BS80" s="113">
        <f t="shared" si="47"/>
        <v>0</v>
      </c>
      <c r="BT80" s="113">
        <f t="shared" si="48"/>
        <v>0</v>
      </c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08">
        <f t="shared" si="49"/>
      </c>
      <c r="CJ80" s="113"/>
      <c r="CK80" s="113"/>
      <c r="CL80" s="113"/>
      <c r="CM80" s="113"/>
    </row>
    <row r="81" spans="1:91" s="112" customFormat="1" ht="15" customHeight="1">
      <c r="A81" s="103"/>
      <c r="B81" s="104"/>
      <c r="C81" s="105"/>
      <c r="D81" s="106"/>
      <c r="E81" s="107">
        <f t="shared" si="60"/>
      </c>
      <c r="F81" s="108">
        <f t="shared" si="8"/>
      </c>
      <c r="G81" s="109"/>
      <c r="H81" s="110"/>
      <c r="I81" s="486">
        <f t="shared" si="61"/>
        <v>0</v>
      </c>
      <c r="J81" s="486">
        <f t="shared" si="3"/>
        <v>0</v>
      </c>
      <c r="K81" s="486">
        <f t="shared" si="4"/>
        <v>0</v>
      </c>
      <c r="L81" s="111">
        <f t="shared" si="10"/>
        <v>0</v>
      </c>
      <c r="M81" s="176">
        <f t="shared" si="55"/>
        <v>0</v>
      </c>
      <c r="N81" s="177">
        <f t="shared" si="70"/>
        <v>0</v>
      </c>
      <c r="P81" s="306">
        <f t="shared" si="12"/>
        <v>0</v>
      </c>
      <c r="Q81" s="71">
        <f t="shared" si="13"/>
        <v>0</v>
      </c>
      <c r="R81" s="71">
        <f t="shared" si="14"/>
        <v>0</v>
      </c>
      <c r="S81" s="71">
        <f t="shared" si="15"/>
        <v>0</v>
      </c>
      <c r="T81" s="71">
        <f>IF(kontonr&gt;1499,IF(kontonr&lt;1560,$N81),0)+IF(kontonr&gt;(Kontoplan!P$3-1),IF(kontonr&lt;(Kontoplan!P$3+300),$N81,0),0)</f>
        <v>0</v>
      </c>
      <c r="U81" s="71">
        <f t="shared" si="16"/>
        <v>0</v>
      </c>
      <c r="V81" s="71">
        <f t="shared" si="17"/>
        <v>0</v>
      </c>
      <c r="W81" s="71">
        <f t="shared" si="18"/>
        <v>0</v>
      </c>
      <c r="X81" s="71">
        <f t="shared" si="19"/>
        <v>0</v>
      </c>
      <c r="Y81" s="71">
        <f t="shared" si="20"/>
        <v>0</v>
      </c>
      <c r="Z81" s="71">
        <f>IF(kontonr&gt;2399,IF(kontonr&lt;2500,$N81),0)+IF(kontonr&gt;(Kontoplan!$P$4-1),IF(kontonr&lt;(Kontoplan!$P$4+600),$N81,0),0)</f>
        <v>0</v>
      </c>
      <c r="AA81" s="71">
        <f t="shared" si="21"/>
        <v>0</v>
      </c>
      <c r="AB81" s="71">
        <f t="shared" si="22"/>
        <v>0</v>
      </c>
      <c r="AC81" s="71">
        <f t="shared" si="23"/>
        <v>0</v>
      </c>
      <c r="AD81" s="71">
        <f t="shared" si="24"/>
        <v>0</v>
      </c>
      <c r="AE81" s="71">
        <f t="shared" si="25"/>
        <v>0</v>
      </c>
      <c r="AF81" s="306">
        <f t="shared" si="26"/>
        <v>0</v>
      </c>
      <c r="AG81" s="74">
        <f t="shared" si="27"/>
        <v>0</v>
      </c>
      <c r="AH81" s="71">
        <f t="shared" si="28"/>
        <v>0</v>
      </c>
      <c r="AI81" s="71">
        <f t="shared" si="29"/>
        <v>0</v>
      </c>
      <c r="AJ81" s="71">
        <f t="shared" si="56"/>
        <v>0</v>
      </c>
      <c r="AK81" s="71">
        <f t="shared" si="31"/>
        <v>0</v>
      </c>
      <c r="AL81" s="71">
        <f t="shared" si="32"/>
        <v>0</v>
      </c>
      <c r="AM81" s="71">
        <f t="shared" si="57"/>
        <v>0</v>
      </c>
      <c r="AN81" s="71">
        <f t="shared" si="58"/>
        <v>0</v>
      </c>
      <c r="AO81" s="71">
        <f t="shared" si="35"/>
        <v>0</v>
      </c>
      <c r="AP81" s="71">
        <f t="shared" si="36"/>
        <v>0</v>
      </c>
      <c r="AQ81" s="71">
        <f t="shared" si="37"/>
        <v>0</v>
      </c>
      <c r="AR81" s="71">
        <f t="shared" si="38"/>
        <v>0</v>
      </c>
      <c r="AS81" s="71">
        <f t="shared" si="39"/>
        <v>0</v>
      </c>
      <c r="AT81" s="71">
        <f t="shared" si="40"/>
        <v>0</v>
      </c>
      <c r="AU81" s="306">
        <f t="shared" si="41"/>
        <v>0</v>
      </c>
      <c r="AV81" s="71">
        <f t="shared" si="42"/>
        <v>0</v>
      </c>
      <c r="AW81" s="71">
        <f t="shared" si="43"/>
        <v>0</v>
      </c>
      <c r="AX81" s="71">
        <f t="shared" si="44"/>
        <v>0</v>
      </c>
      <c r="AY81" s="113">
        <f t="shared" si="59"/>
        <v>0</v>
      </c>
      <c r="AZ81" s="113">
        <f t="shared" si="71"/>
        <v>0</v>
      </c>
      <c r="BA81" s="113">
        <f t="shared" si="74"/>
        <v>0</v>
      </c>
      <c r="BB81" s="113">
        <f t="shared" si="74"/>
        <v>0</v>
      </c>
      <c r="BC81" s="113">
        <f t="shared" si="74"/>
        <v>0</v>
      </c>
      <c r="BD81" s="113">
        <f t="shared" si="74"/>
        <v>0</v>
      </c>
      <c r="BE81" s="113">
        <f t="shared" si="74"/>
        <v>0</v>
      </c>
      <c r="BF81" s="113">
        <f t="shared" si="74"/>
        <v>0</v>
      </c>
      <c r="BG81" s="113">
        <f t="shared" si="74"/>
        <v>0</v>
      </c>
      <c r="BH81" s="113">
        <f t="shared" si="74"/>
        <v>0</v>
      </c>
      <c r="BI81" s="113">
        <f t="shared" si="74"/>
        <v>0</v>
      </c>
      <c r="BJ81" s="113">
        <f t="shared" si="74"/>
        <v>0</v>
      </c>
      <c r="BK81" s="113">
        <f t="shared" si="74"/>
        <v>0</v>
      </c>
      <c r="BL81" s="113">
        <f t="shared" si="74"/>
        <v>0</v>
      </c>
      <c r="BM81" s="113">
        <f t="shared" si="74"/>
        <v>0</v>
      </c>
      <c r="BN81" s="113">
        <f t="shared" si="74"/>
        <v>0</v>
      </c>
      <c r="BO81" s="113">
        <f t="shared" si="74"/>
        <v>0</v>
      </c>
      <c r="BP81" s="113">
        <f t="shared" si="74"/>
        <v>0</v>
      </c>
      <c r="BQ81" s="113">
        <f t="shared" si="54"/>
        <v>0</v>
      </c>
      <c r="BR81" s="113">
        <f t="shared" si="54"/>
        <v>0</v>
      </c>
      <c r="BS81" s="113">
        <f t="shared" si="47"/>
        <v>0</v>
      </c>
      <c r="BT81" s="113">
        <f t="shared" si="48"/>
        <v>0</v>
      </c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08">
        <f t="shared" si="49"/>
      </c>
      <c r="CJ81" s="113"/>
      <c r="CK81" s="113"/>
      <c r="CL81" s="113"/>
      <c r="CM81" s="113"/>
    </row>
    <row r="82" spans="1:91" s="112" customFormat="1" ht="15" customHeight="1">
      <c r="A82" s="103"/>
      <c r="B82" s="104"/>
      <c r="C82" s="105"/>
      <c r="D82" s="106"/>
      <c r="E82" s="107">
        <f t="shared" si="60"/>
      </c>
      <c r="F82" s="108">
        <f t="shared" si="8"/>
      </c>
      <c r="G82" s="109"/>
      <c r="H82" s="110"/>
      <c r="I82" s="486">
        <f t="shared" si="61"/>
        <v>0</v>
      </c>
      <c r="J82" s="486">
        <f t="shared" si="3"/>
        <v>0</v>
      </c>
      <c r="K82" s="486">
        <f t="shared" si="4"/>
        <v>0</v>
      </c>
      <c r="L82" s="111">
        <f t="shared" si="10"/>
        <v>0</v>
      </c>
      <c r="M82" s="176">
        <f t="shared" si="55"/>
        <v>0</v>
      </c>
      <c r="N82" s="177">
        <f t="shared" si="70"/>
        <v>0</v>
      </c>
      <c r="P82" s="306">
        <f t="shared" si="12"/>
        <v>0</v>
      </c>
      <c r="Q82" s="71">
        <f t="shared" si="13"/>
        <v>0</v>
      </c>
      <c r="R82" s="71">
        <f t="shared" si="14"/>
        <v>0</v>
      </c>
      <c r="S82" s="71">
        <f t="shared" si="15"/>
        <v>0</v>
      </c>
      <c r="T82" s="71">
        <f>IF(kontonr&gt;1499,IF(kontonr&lt;1560,$N82),0)+IF(kontonr&gt;(Kontoplan!P$3-1),IF(kontonr&lt;(Kontoplan!P$3+300),$N82,0),0)</f>
        <v>0</v>
      </c>
      <c r="U82" s="71">
        <f t="shared" si="16"/>
        <v>0</v>
      </c>
      <c r="V82" s="71">
        <f t="shared" si="17"/>
        <v>0</v>
      </c>
      <c r="W82" s="71">
        <f t="shared" si="18"/>
        <v>0</v>
      </c>
      <c r="X82" s="71">
        <f t="shared" si="19"/>
        <v>0</v>
      </c>
      <c r="Y82" s="71">
        <f t="shared" si="20"/>
        <v>0</v>
      </c>
      <c r="Z82" s="71">
        <f>IF(kontonr&gt;2399,IF(kontonr&lt;2500,$N82),0)+IF(kontonr&gt;(Kontoplan!$P$4-1),IF(kontonr&lt;(Kontoplan!$P$4+600),$N82,0),0)</f>
        <v>0</v>
      </c>
      <c r="AA82" s="71">
        <f t="shared" si="21"/>
        <v>0</v>
      </c>
      <c r="AB82" s="71">
        <f t="shared" si="22"/>
        <v>0</v>
      </c>
      <c r="AC82" s="71">
        <f t="shared" si="23"/>
        <v>0</v>
      </c>
      <c r="AD82" s="71">
        <f t="shared" si="24"/>
        <v>0</v>
      </c>
      <c r="AE82" s="71">
        <f t="shared" si="25"/>
        <v>0</v>
      </c>
      <c r="AF82" s="306">
        <f t="shared" si="26"/>
        <v>0</v>
      </c>
      <c r="AG82" s="74">
        <f t="shared" si="27"/>
        <v>0</v>
      </c>
      <c r="AH82" s="71">
        <f t="shared" si="28"/>
        <v>0</v>
      </c>
      <c r="AI82" s="71">
        <f t="shared" si="29"/>
        <v>0</v>
      </c>
      <c r="AJ82" s="71">
        <f t="shared" si="56"/>
        <v>0</v>
      </c>
      <c r="AK82" s="71">
        <f t="shared" si="31"/>
        <v>0</v>
      </c>
      <c r="AL82" s="71">
        <f t="shared" si="32"/>
        <v>0</v>
      </c>
      <c r="AM82" s="71">
        <f t="shared" si="57"/>
        <v>0</v>
      </c>
      <c r="AN82" s="71">
        <f t="shared" si="58"/>
        <v>0</v>
      </c>
      <c r="AO82" s="71">
        <f t="shared" si="35"/>
        <v>0</v>
      </c>
      <c r="AP82" s="71">
        <f t="shared" si="36"/>
        <v>0</v>
      </c>
      <c r="AQ82" s="71">
        <f t="shared" si="37"/>
        <v>0</v>
      </c>
      <c r="AR82" s="71">
        <f t="shared" si="38"/>
        <v>0</v>
      </c>
      <c r="AS82" s="71">
        <f t="shared" si="39"/>
        <v>0</v>
      </c>
      <c r="AT82" s="71">
        <f t="shared" si="40"/>
        <v>0</v>
      </c>
      <c r="AU82" s="306">
        <f t="shared" si="41"/>
        <v>0</v>
      </c>
      <c r="AV82" s="71">
        <f t="shared" si="42"/>
        <v>0</v>
      </c>
      <c r="AW82" s="71">
        <f t="shared" si="43"/>
        <v>0</v>
      </c>
      <c r="AX82" s="71">
        <f t="shared" si="44"/>
        <v>0</v>
      </c>
      <c r="AY82" s="113">
        <f t="shared" si="59"/>
        <v>0</v>
      </c>
      <c r="AZ82" s="113">
        <f t="shared" si="71"/>
        <v>0</v>
      </c>
      <c r="BA82" s="113">
        <f t="shared" si="74"/>
        <v>0</v>
      </c>
      <c r="BB82" s="113">
        <f t="shared" si="74"/>
        <v>0</v>
      </c>
      <c r="BC82" s="113">
        <f t="shared" si="74"/>
        <v>0</v>
      </c>
      <c r="BD82" s="113">
        <f t="shared" si="74"/>
        <v>0</v>
      </c>
      <c r="BE82" s="113">
        <f t="shared" si="74"/>
        <v>0</v>
      </c>
      <c r="BF82" s="113">
        <f t="shared" si="74"/>
        <v>0</v>
      </c>
      <c r="BG82" s="113">
        <f t="shared" si="74"/>
        <v>0</v>
      </c>
      <c r="BH82" s="113">
        <f t="shared" si="74"/>
        <v>0</v>
      </c>
      <c r="BI82" s="113">
        <f t="shared" si="74"/>
        <v>0</v>
      </c>
      <c r="BJ82" s="113">
        <f t="shared" si="74"/>
        <v>0</v>
      </c>
      <c r="BK82" s="113">
        <f t="shared" si="74"/>
        <v>0</v>
      </c>
      <c r="BL82" s="113">
        <f t="shared" si="74"/>
        <v>0</v>
      </c>
      <c r="BM82" s="113">
        <f t="shared" si="74"/>
        <v>0</v>
      </c>
      <c r="BN82" s="113">
        <f t="shared" si="74"/>
        <v>0</v>
      </c>
      <c r="BO82" s="113">
        <f t="shared" si="74"/>
        <v>0</v>
      </c>
      <c r="BP82" s="113">
        <f t="shared" si="74"/>
        <v>0</v>
      </c>
      <c r="BQ82" s="113">
        <f t="shared" si="54"/>
        <v>0</v>
      </c>
      <c r="BR82" s="113">
        <f t="shared" si="54"/>
        <v>0</v>
      </c>
      <c r="BS82" s="113">
        <f t="shared" si="47"/>
        <v>0</v>
      </c>
      <c r="BT82" s="113">
        <f t="shared" si="48"/>
        <v>0</v>
      </c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08">
        <f t="shared" si="49"/>
      </c>
      <c r="CJ82" s="113"/>
      <c r="CK82" s="113"/>
      <c r="CL82" s="113"/>
      <c r="CM82" s="113"/>
    </row>
    <row r="83" spans="1:91" s="112" customFormat="1" ht="15" customHeight="1">
      <c r="A83" s="103"/>
      <c r="B83" s="104"/>
      <c r="C83" s="105"/>
      <c r="D83" s="106"/>
      <c r="E83" s="107">
        <f t="shared" si="60"/>
      </c>
      <c r="F83" s="108">
        <f t="shared" si="8"/>
      </c>
      <c r="G83" s="109"/>
      <c r="H83" s="110"/>
      <c r="I83" s="486">
        <f t="shared" si="61"/>
        <v>0</v>
      </c>
      <c r="J83" s="486">
        <f t="shared" si="3"/>
        <v>0</v>
      </c>
      <c r="K83" s="486">
        <f t="shared" si="4"/>
        <v>0</v>
      </c>
      <c r="L83" s="111">
        <f t="shared" si="10"/>
        <v>0</v>
      </c>
      <c r="M83" s="176">
        <f t="shared" si="55"/>
        <v>0</v>
      </c>
      <c r="N83" s="177">
        <f t="shared" si="70"/>
        <v>0</v>
      </c>
      <c r="P83" s="306">
        <f t="shared" si="12"/>
        <v>0</v>
      </c>
      <c r="Q83" s="71">
        <f t="shared" si="13"/>
        <v>0</v>
      </c>
      <c r="R83" s="71">
        <f t="shared" si="14"/>
        <v>0</v>
      </c>
      <c r="S83" s="71">
        <f t="shared" si="15"/>
        <v>0</v>
      </c>
      <c r="T83" s="71">
        <f>IF(kontonr&gt;1499,IF(kontonr&lt;1560,$N83),0)+IF(kontonr&gt;(Kontoplan!P$3-1),IF(kontonr&lt;(Kontoplan!P$3+300),$N83,0),0)</f>
        <v>0</v>
      </c>
      <c r="U83" s="71">
        <f t="shared" si="16"/>
        <v>0</v>
      </c>
      <c r="V83" s="71">
        <f t="shared" si="17"/>
        <v>0</v>
      </c>
      <c r="W83" s="71">
        <f t="shared" si="18"/>
        <v>0</v>
      </c>
      <c r="X83" s="71">
        <f t="shared" si="19"/>
        <v>0</v>
      </c>
      <c r="Y83" s="71">
        <f t="shared" si="20"/>
        <v>0</v>
      </c>
      <c r="Z83" s="71">
        <f>IF(kontonr&gt;2399,IF(kontonr&lt;2500,$N83),0)+IF(kontonr&gt;(Kontoplan!$P$4-1),IF(kontonr&lt;(Kontoplan!$P$4+600),$N83,0),0)</f>
        <v>0</v>
      </c>
      <c r="AA83" s="71">
        <f t="shared" si="21"/>
        <v>0</v>
      </c>
      <c r="AB83" s="71">
        <f t="shared" si="22"/>
        <v>0</v>
      </c>
      <c r="AC83" s="71">
        <f t="shared" si="23"/>
        <v>0</v>
      </c>
      <c r="AD83" s="71">
        <f t="shared" si="24"/>
        <v>0</v>
      </c>
      <c r="AE83" s="71">
        <f t="shared" si="25"/>
        <v>0</v>
      </c>
      <c r="AF83" s="306">
        <f t="shared" si="26"/>
        <v>0</v>
      </c>
      <c r="AG83" s="74">
        <f t="shared" si="27"/>
        <v>0</v>
      </c>
      <c r="AH83" s="71">
        <f t="shared" si="28"/>
        <v>0</v>
      </c>
      <c r="AI83" s="71">
        <f t="shared" si="29"/>
        <v>0</v>
      </c>
      <c r="AJ83" s="71">
        <f t="shared" si="56"/>
        <v>0</v>
      </c>
      <c r="AK83" s="71">
        <f t="shared" si="31"/>
        <v>0</v>
      </c>
      <c r="AL83" s="71">
        <f t="shared" si="32"/>
        <v>0</v>
      </c>
      <c r="AM83" s="71">
        <f t="shared" si="57"/>
        <v>0</v>
      </c>
      <c r="AN83" s="71">
        <f t="shared" si="58"/>
        <v>0</v>
      </c>
      <c r="AO83" s="71">
        <f t="shared" si="35"/>
        <v>0</v>
      </c>
      <c r="AP83" s="71">
        <f t="shared" si="36"/>
        <v>0</v>
      </c>
      <c r="AQ83" s="71">
        <f t="shared" si="37"/>
        <v>0</v>
      </c>
      <c r="AR83" s="71">
        <f t="shared" si="38"/>
        <v>0</v>
      </c>
      <c r="AS83" s="71">
        <f t="shared" si="39"/>
        <v>0</v>
      </c>
      <c r="AT83" s="71">
        <f t="shared" si="40"/>
        <v>0</v>
      </c>
      <c r="AU83" s="306">
        <f t="shared" si="41"/>
        <v>0</v>
      </c>
      <c r="AV83" s="71">
        <f t="shared" si="42"/>
        <v>0</v>
      </c>
      <c r="AW83" s="71">
        <f t="shared" si="43"/>
        <v>0</v>
      </c>
      <c r="AX83" s="71">
        <f t="shared" si="44"/>
        <v>0</v>
      </c>
      <c r="AY83" s="113">
        <f t="shared" si="59"/>
        <v>0</v>
      </c>
      <c r="AZ83" s="113">
        <f t="shared" si="71"/>
        <v>0</v>
      </c>
      <c r="BA83" s="113">
        <f t="shared" si="74"/>
        <v>0</v>
      </c>
      <c r="BB83" s="113">
        <f t="shared" si="74"/>
        <v>0</v>
      </c>
      <c r="BC83" s="113">
        <f t="shared" si="74"/>
        <v>0</v>
      </c>
      <c r="BD83" s="113">
        <f t="shared" si="74"/>
        <v>0</v>
      </c>
      <c r="BE83" s="113">
        <f t="shared" si="74"/>
        <v>0</v>
      </c>
      <c r="BF83" s="113">
        <f t="shared" si="74"/>
        <v>0</v>
      </c>
      <c r="BG83" s="113">
        <f t="shared" si="74"/>
        <v>0</v>
      </c>
      <c r="BH83" s="113">
        <f t="shared" si="74"/>
        <v>0</v>
      </c>
      <c r="BI83" s="113">
        <f t="shared" si="74"/>
        <v>0</v>
      </c>
      <c r="BJ83" s="113">
        <f t="shared" si="74"/>
        <v>0</v>
      </c>
      <c r="BK83" s="113">
        <f t="shared" si="74"/>
        <v>0</v>
      </c>
      <c r="BL83" s="113">
        <f t="shared" si="74"/>
        <v>0</v>
      </c>
      <c r="BM83" s="113">
        <f t="shared" si="74"/>
        <v>0</v>
      </c>
      <c r="BN83" s="113">
        <f t="shared" si="74"/>
        <v>0</v>
      </c>
      <c r="BO83" s="113">
        <f t="shared" si="74"/>
        <v>0</v>
      </c>
      <c r="BP83" s="113">
        <f t="shared" si="74"/>
        <v>0</v>
      </c>
      <c r="BQ83" s="113">
        <f t="shared" si="54"/>
        <v>0</v>
      </c>
      <c r="BR83" s="113">
        <f t="shared" si="54"/>
        <v>0</v>
      </c>
      <c r="BS83" s="113">
        <f t="shared" si="47"/>
        <v>0</v>
      </c>
      <c r="BT83" s="113">
        <f t="shared" si="48"/>
        <v>0</v>
      </c>
      <c r="BU83" s="113"/>
      <c r="BV83" s="113"/>
      <c r="BW83" s="113"/>
      <c r="BX83" s="113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108">
        <f t="shared" si="49"/>
      </c>
      <c r="CJ83" s="113"/>
      <c r="CK83" s="113"/>
      <c r="CL83" s="113"/>
      <c r="CM83" s="113"/>
    </row>
    <row r="84" spans="1:91" s="112" customFormat="1" ht="15" customHeight="1">
      <c r="A84" s="103"/>
      <c r="B84" s="104"/>
      <c r="C84" s="105"/>
      <c r="D84" s="106"/>
      <c r="E84" s="107">
        <f t="shared" si="60"/>
      </c>
      <c r="F84" s="108">
        <f t="shared" si="8"/>
      </c>
      <c r="G84" s="109"/>
      <c r="H84" s="110"/>
      <c r="I84" s="486">
        <f t="shared" si="61"/>
        <v>0</v>
      </c>
      <c r="J84" s="486">
        <f t="shared" si="3"/>
        <v>0</v>
      </c>
      <c r="K84" s="486">
        <f t="shared" si="4"/>
        <v>0</v>
      </c>
      <c r="L84" s="111">
        <f t="shared" si="10"/>
        <v>0</v>
      </c>
      <c r="M84" s="176">
        <f t="shared" si="55"/>
        <v>0</v>
      </c>
      <c r="N84" s="177">
        <f t="shared" si="70"/>
        <v>0</v>
      </c>
      <c r="P84" s="306">
        <f t="shared" si="12"/>
        <v>0</v>
      </c>
      <c r="Q84" s="71">
        <f t="shared" si="13"/>
        <v>0</v>
      </c>
      <c r="R84" s="71">
        <f t="shared" si="14"/>
        <v>0</v>
      </c>
      <c r="S84" s="71">
        <f t="shared" si="15"/>
        <v>0</v>
      </c>
      <c r="T84" s="71">
        <f>IF(kontonr&gt;1499,IF(kontonr&lt;1560,$N84),0)+IF(kontonr&gt;(Kontoplan!P$3-1),IF(kontonr&lt;(Kontoplan!P$3+300),$N84,0),0)</f>
        <v>0</v>
      </c>
      <c r="U84" s="71">
        <f t="shared" si="16"/>
        <v>0</v>
      </c>
      <c r="V84" s="71">
        <f t="shared" si="17"/>
        <v>0</v>
      </c>
      <c r="W84" s="71">
        <f t="shared" si="18"/>
        <v>0</v>
      </c>
      <c r="X84" s="71">
        <f t="shared" si="19"/>
        <v>0</v>
      </c>
      <c r="Y84" s="71">
        <f t="shared" si="20"/>
        <v>0</v>
      </c>
      <c r="Z84" s="71">
        <f>IF(kontonr&gt;2399,IF(kontonr&lt;2500,$N84),0)+IF(kontonr&gt;(Kontoplan!$P$4-1),IF(kontonr&lt;(Kontoplan!$P$4+600),$N84,0),0)</f>
        <v>0</v>
      </c>
      <c r="AA84" s="71">
        <f t="shared" si="21"/>
        <v>0</v>
      </c>
      <c r="AB84" s="71">
        <f t="shared" si="22"/>
        <v>0</v>
      </c>
      <c r="AC84" s="71">
        <f t="shared" si="23"/>
        <v>0</v>
      </c>
      <c r="AD84" s="71">
        <f t="shared" si="24"/>
        <v>0</v>
      </c>
      <c r="AE84" s="71">
        <f t="shared" si="25"/>
        <v>0</v>
      </c>
      <c r="AF84" s="306">
        <f t="shared" si="26"/>
        <v>0</v>
      </c>
      <c r="AG84" s="74">
        <f t="shared" si="27"/>
        <v>0</v>
      </c>
      <c r="AH84" s="71">
        <f t="shared" si="28"/>
        <v>0</v>
      </c>
      <c r="AI84" s="71">
        <f t="shared" si="29"/>
        <v>0</v>
      </c>
      <c r="AJ84" s="71">
        <f t="shared" si="56"/>
        <v>0</v>
      </c>
      <c r="AK84" s="71">
        <f t="shared" si="31"/>
        <v>0</v>
      </c>
      <c r="AL84" s="71">
        <f t="shared" si="32"/>
        <v>0</v>
      </c>
      <c r="AM84" s="71">
        <f t="shared" si="57"/>
        <v>0</v>
      </c>
      <c r="AN84" s="71">
        <f t="shared" si="58"/>
        <v>0</v>
      </c>
      <c r="AO84" s="71">
        <f t="shared" si="35"/>
        <v>0</v>
      </c>
      <c r="AP84" s="71">
        <f t="shared" si="36"/>
        <v>0</v>
      </c>
      <c r="AQ84" s="71">
        <f t="shared" si="37"/>
        <v>0</v>
      </c>
      <c r="AR84" s="71">
        <f t="shared" si="38"/>
        <v>0</v>
      </c>
      <c r="AS84" s="71">
        <f t="shared" si="39"/>
        <v>0</v>
      </c>
      <c r="AT84" s="71">
        <f t="shared" si="40"/>
        <v>0</v>
      </c>
      <c r="AU84" s="306">
        <f t="shared" si="41"/>
        <v>0</v>
      </c>
      <c r="AV84" s="71">
        <f t="shared" si="42"/>
        <v>0</v>
      </c>
      <c r="AW84" s="71">
        <f t="shared" si="43"/>
        <v>0</v>
      </c>
      <c r="AX84" s="71">
        <f t="shared" si="44"/>
        <v>0</v>
      </c>
      <c r="AY84" s="113">
        <f t="shared" si="59"/>
        <v>0</v>
      </c>
      <c r="AZ84" s="113">
        <f t="shared" si="71"/>
        <v>0</v>
      </c>
      <c r="BA84" s="113">
        <f t="shared" si="74"/>
        <v>0</v>
      </c>
      <c r="BB84" s="113">
        <f t="shared" si="74"/>
        <v>0</v>
      </c>
      <c r="BC84" s="113">
        <f t="shared" si="74"/>
        <v>0</v>
      </c>
      <c r="BD84" s="113">
        <f t="shared" si="74"/>
        <v>0</v>
      </c>
      <c r="BE84" s="113">
        <f t="shared" si="74"/>
        <v>0</v>
      </c>
      <c r="BF84" s="113">
        <f t="shared" si="74"/>
        <v>0</v>
      </c>
      <c r="BG84" s="113">
        <f t="shared" si="74"/>
        <v>0</v>
      </c>
      <c r="BH84" s="113">
        <f t="shared" si="74"/>
        <v>0</v>
      </c>
      <c r="BI84" s="113">
        <f t="shared" si="74"/>
        <v>0</v>
      </c>
      <c r="BJ84" s="113">
        <f t="shared" si="74"/>
        <v>0</v>
      </c>
      <c r="BK84" s="113">
        <f t="shared" si="74"/>
        <v>0</v>
      </c>
      <c r="BL84" s="113">
        <f t="shared" si="74"/>
        <v>0</v>
      </c>
      <c r="BM84" s="113">
        <f t="shared" si="74"/>
        <v>0</v>
      </c>
      <c r="BN84" s="113">
        <f t="shared" si="74"/>
        <v>0</v>
      </c>
      <c r="BO84" s="113">
        <f t="shared" si="74"/>
        <v>0</v>
      </c>
      <c r="BP84" s="113">
        <f t="shared" si="74"/>
        <v>0</v>
      </c>
      <c r="BQ84" s="113">
        <f t="shared" si="54"/>
        <v>0</v>
      </c>
      <c r="BR84" s="113">
        <f t="shared" si="54"/>
        <v>0</v>
      </c>
      <c r="BS84" s="113">
        <f t="shared" si="47"/>
        <v>0</v>
      </c>
      <c r="BT84" s="113">
        <f t="shared" si="48"/>
        <v>0</v>
      </c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08">
        <f t="shared" si="49"/>
      </c>
      <c r="CJ84" s="113"/>
      <c r="CK84" s="113"/>
      <c r="CL84" s="113"/>
      <c r="CM84" s="113"/>
    </row>
    <row r="85" spans="1:91" s="112" customFormat="1" ht="15" customHeight="1">
      <c r="A85" s="103"/>
      <c r="B85" s="104"/>
      <c r="C85" s="105"/>
      <c r="D85" s="106"/>
      <c r="E85" s="107">
        <f t="shared" si="60"/>
      </c>
      <c r="F85" s="108">
        <f t="shared" si="8"/>
      </c>
      <c r="G85" s="109"/>
      <c r="H85" s="110"/>
      <c r="I85" s="486">
        <f t="shared" si="61"/>
        <v>0</v>
      </c>
      <c r="J85" s="486">
        <f t="shared" si="3"/>
        <v>0</v>
      </c>
      <c r="K85" s="486">
        <f t="shared" si="4"/>
        <v>0</v>
      </c>
      <c r="L85" s="111">
        <f t="shared" si="10"/>
        <v>0</v>
      </c>
      <c r="M85" s="176">
        <f t="shared" si="55"/>
        <v>0</v>
      </c>
      <c r="N85" s="177">
        <f t="shared" si="70"/>
        <v>0</v>
      </c>
      <c r="P85" s="306">
        <f t="shared" si="12"/>
        <v>0</v>
      </c>
      <c r="Q85" s="71">
        <f t="shared" si="13"/>
        <v>0</v>
      </c>
      <c r="R85" s="71">
        <f t="shared" si="14"/>
        <v>0</v>
      </c>
      <c r="S85" s="71">
        <f t="shared" si="15"/>
        <v>0</v>
      </c>
      <c r="T85" s="71">
        <f>IF(kontonr&gt;1499,IF(kontonr&lt;1560,$N85),0)+IF(kontonr&gt;(Kontoplan!P$3-1),IF(kontonr&lt;(Kontoplan!P$3+300),$N85,0),0)</f>
        <v>0</v>
      </c>
      <c r="U85" s="71">
        <f t="shared" si="16"/>
        <v>0</v>
      </c>
      <c r="V85" s="71">
        <f t="shared" si="17"/>
        <v>0</v>
      </c>
      <c r="W85" s="71">
        <f t="shared" si="18"/>
        <v>0</v>
      </c>
      <c r="X85" s="71">
        <f t="shared" si="19"/>
        <v>0</v>
      </c>
      <c r="Y85" s="71">
        <f t="shared" si="20"/>
        <v>0</v>
      </c>
      <c r="Z85" s="71">
        <f>IF(kontonr&gt;2399,IF(kontonr&lt;2500,$N85),0)+IF(kontonr&gt;(Kontoplan!$P$4-1),IF(kontonr&lt;(Kontoplan!$P$4+600),$N85,0),0)</f>
        <v>0</v>
      </c>
      <c r="AA85" s="71">
        <f t="shared" si="21"/>
        <v>0</v>
      </c>
      <c r="AB85" s="71">
        <f t="shared" si="22"/>
        <v>0</v>
      </c>
      <c r="AC85" s="71">
        <f t="shared" si="23"/>
        <v>0</v>
      </c>
      <c r="AD85" s="71">
        <f t="shared" si="24"/>
        <v>0</v>
      </c>
      <c r="AE85" s="71">
        <f t="shared" si="25"/>
        <v>0</v>
      </c>
      <c r="AF85" s="306">
        <f t="shared" si="26"/>
        <v>0</v>
      </c>
      <c r="AG85" s="74">
        <f t="shared" si="27"/>
        <v>0</v>
      </c>
      <c r="AH85" s="71">
        <f t="shared" si="28"/>
        <v>0</v>
      </c>
      <c r="AI85" s="71">
        <f t="shared" si="29"/>
        <v>0</v>
      </c>
      <c r="AJ85" s="71">
        <f t="shared" si="56"/>
        <v>0</v>
      </c>
      <c r="AK85" s="71">
        <f t="shared" si="31"/>
        <v>0</v>
      </c>
      <c r="AL85" s="71">
        <f t="shared" si="32"/>
        <v>0</v>
      </c>
      <c r="AM85" s="71">
        <f t="shared" si="57"/>
        <v>0</v>
      </c>
      <c r="AN85" s="71">
        <f t="shared" si="58"/>
        <v>0</v>
      </c>
      <c r="AO85" s="71">
        <f t="shared" si="35"/>
        <v>0</v>
      </c>
      <c r="AP85" s="71">
        <f t="shared" si="36"/>
        <v>0</v>
      </c>
      <c r="AQ85" s="71">
        <f t="shared" si="37"/>
        <v>0</v>
      </c>
      <c r="AR85" s="71">
        <f t="shared" si="38"/>
        <v>0</v>
      </c>
      <c r="AS85" s="71">
        <f t="shared" si="39"/>
        <v>0</v>
      </c>
      <c r="AT85" s="71">
        <f t="shared" si="40"/>
        <v>0</v>
      </c>
      <c r="AU85" s="306">
        <f t="shared" si="41"/>
        <v>0</v>
      </c>
      <c r="AV85" s="71">
        <f t="shared" si="42"/>
        <v>0</v>
      </c>
      <c r="AW85" s="71">
        <f t="shared" si="43"/>
        <v>0</v>
      </c>
      <c r="AX85" s="71">
        <f t="shared" si="44"/>
        <v>0</v>
      </c>
      <c r="AY85" s="113">
        <f t="shared" si="59"/>
        <v>0</v>
      </c>
      <c r="AZ85" s="113">
        <f t="shared" si="71"/>
        <v>0</v>
      </c>
      <c r="BA85" s="113">
        <f t="shared" si="74"/>
        <v>0</v>
      </c>
      <c r="BB85" s="113">
        <f t="shared" si="74"/>
        <v>0</v>
      </c>
      <c r="BC85" s="113">
        <f t="shared" si="74"/>
        <v>0</v>
      </c>
      <c r="BD85" s="113">
        <f t="shared" si="74"/>
        <v>0</v>
      </c>
      <c r="BE85" s="113">
        <f t="shared" si="74"/>
        <v>0</v>
      </c>
      <c r="BF85" s="113">
        <f t="shared" si="74"/>
        <v>0</v>
      </c>
      <c r="BG85" s="113">
        <f t="shared" si="74"/>
        <v>0</v>
      </c>
      <c r="BH85" s="113">
        <f t="shared" si="74"/>
        <v>0</v>
      </c>
      <c r="BI85" s="113">
        <f t="shared" si="74"/>
        <v>0</v>
      </c>
      <c r="BJ85" s="113">
        <f t="shared" si="74"/>
        <v>0</v>
      </c>
      <c r="BK85" s="113">
        <f t="shared" si="74"/>
        <v>0</v>
      </c>
      <c r="BL85" s="113">
        <f t="shared" si="74"/>
        <v>0</v>
      </c>
      <c r="BM85" s="113">
        <f t="shared" si="74"/>
        <v>0</v>
      </c>
      <c r="BN85" s="113">
        <f t="shared" si="74"/>
        <v>0</v>
      </c>
      <c r="BO85" s="113">
        <f t="shared" si="74"/>
        <v>0</v>
      </c>
      <c r="BP85" s="113">
        <f t="shared" si="74"/>
        <v>0</v>
      </c>
      <c r="BQ85" s="113">
        <f t="shared" si="54"/>
        <v>0</v>
      </c>
      <c r="BR85" s="113">
        <f t="shared" si="54"/>
        <v>0</v>
      </c>
      <c r="BS85" s="113">
        <f t="shared" si="47"/>
        <v>0</v>
      </c>
      <c r="BT85" s="113">
        <f t="shared" si="48"/>
        <v>0</v>
      </c>
      <c r="BU85" s="113"/>
      <c r="BV85" s="113"/>
      <c r="BW85" s="113"/>
      <c r="BX85" s="113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08">
        <f t="shared" si="49"/>
      </c>
      <c r="CJ85" s="113"/>
      <c r="CK85" s="113"/>
      <c r="CL85" s="113"/>
      <c r="CM85" s="113"/>
    </row>
    <row r="86" spans="1:91" s="112" customFormat="1" ht="15" customHeight="1">
      <c r="A86" s="103"/>
      <c r="B86" s="104"/>
      <c r="C86" s="105"/>
      <c r="D86" s="106"/>
      <c r="E86" s="107">
        <f t="shared" si="60"/>
      </c>
      <c r="F86" s="108">
        <f t="shared" si="8"/>
      </c>
      <c r="G86" s="109"/>
      <c r="H86" s="110"/>
      <c r="I86" s="486">
        <f t="shared" si="61"/>
        <v>0</v>
      </c>
      <c r="J86" s="486">
        <f t="shared" si="3"/>
        <v>0</v>
      </c>
      <c r="K86" s="486">
        <f t="shared" si="4"/>
        <v>0</v>
      </c>
      <c r="L86" s="111">
        <f t="shared" si="10"/>
        <v>0</v>
      </c>
      <c r="M86" s="176">
        <f t="shared" si="55"/>
        <v>0</v>
      </c>
      <c r="N86" s="177">
        <f t="shared" si="70"/>
        <v>0</v>
      </c>
      <c r="P86" s="306">
        <f t="shared" si="12"/>
        <v>0</v>
      </c>
      <c r="Q86" s="71">
        <f t="shared" si="13"/>
        <v>0</v>
      </c>
      <c r="R86" s="71">
        <f t="shared" si="14"/>
        <v>0</v>
      </c>
      <c r="S86" s="71">
        <f t="shared" si="15"/>
        <v>0</v>
      </c>
      <c r="T86" s="71">
        <f>IF(kontonr&gt;1499,IF(kontonr&lt;1560,$N86),0)+IF(kontonr&gt;(Kontoplan!P$3-1),IF(kontonr&lt;(Kontoplan!P$3+300),$N86,0),0)</f>
        <v>0</v>
      </c>
      <c r="U86" s="71">
        <f t="shared" si="16"/>
        <v>0</v>
      </c>
      <c r="V86" s="71">
        <f t="shared" si="17"/>
        <v>0</v>
      </c>
      <c r="W86" s="71">
        <f t="shared" si="18"/>
        <v>0</v>
      </c>
      <c r="X86" s="71">
        <f t="shared" si="19"/>
        <v>0</v>
      </c>
      <c r="Y86" s="71">
        <f t="shared" si="20"/>
        <v>0</v>
      </c>
      <c r="Z86" s="71">
        <f>IF(kontonr&gt;2399,IF(kontonr&lt;2500,$N86),0)+IF(kontonr&gt;(Kontoplan!$P$4-1),IF(kontonr&lt;(Kontoplan!$P$4+600),$N86,0),0)</f>
        <v>0</v>
      </c>
      <c r="AA86" s="71">
        <f t="shared" si="21"/>
        <v>0</v>
      </c>
      <c r="AB86" s="71">
        <f t="shared" si="22"/>
        <v>0</v>
      </c>
      <c r="AC86" s="71">
        <f t="shared" si="23"/>
        <v>0</v>
      </c>
      <c r="AD86" s="71">
        <f t="shared" si="24"/>
        <v>0</v>
      </c>
      <c r="AE86" s="71">
        <f t="shared" si="25"/>
        <v>0</v>
      </c>
      <c r="AF86" s="306">
        <f t="shared" si="26"/>
        <v>0</v>
      </c>
      <c r="AG86" s="74">
        <f t="shared" si="27"/>
        <v>0</v>
      </c>
      <c r="AH86" s="71">
        <f t="shared" si="28"/>
        <v>0</v>
      </c>
      <c r="AI86" s="71">
        <f t="shared" si="29"/>
        <v>0</v>
      </c>
      <c r="AJ86" s="71">
        <f t="shared" si="56"/>
        <v>0</v>
      </c>
      <c r="AK86" s="71">
        <f t="shared" si="31"/>
        <v>0</v>
      </c>
      <c r="AL86" s="71">
        <f t="shared" si="32"/>
        <v>0</v>
      </c>
      <c r="AM86" s="71">
        <f t="shared" si="57"/>
        <v>0</v>
      </c>
      <c r="AN86" s="71">
        <f t="shared" si="58"/>
        <v>0</v>
      </c>
      <c r="AO86" s="71">
        <f t="shared" si="35"/>
        <v>0</v>
      </c>
      <c r="AP86" s="71">
        <f t="shared" si="36"/>
        <v>0</v>
      </c>
      <c r="AQ86" s="71">
        <f t="shared" si="37"/>
        <v>0</v>
      </c>
      <c r="AR86" s="71">
        <f t="shared" si="38"/>
        <v>0</v>
      </c>
      <c r="AS86" s="71">
        <f t="shared" si="39"/>
        <v>0</v>
      </c>
      <c r="AT86" s="71">
        <f t="shared" si="40"/>
        <v>0</v>
      </c>
      <c r="AU86" s="306">
        <f t="shared" si="41"/>
        <v>0</v>
      </c>
      <c r="AV86" s="71">
        <f t="shared" si="42"/>
        <v>0</v>
      </c>
      <c r="AW86" s="71">
        <f t="shared" si="43"/>
        <v>0</v>
      </c>
      <c r="AX86" s="71">
        <f t="shared" si="44"/>
        <v>0</v>
      </c>
      <c r="AY86" s="113">
        <f t="shared" si="59"/>
        <v>0</v>
      </c>
      <c r="AZ86" s="113">
        <f t="shared" si="71"/>
        <v>0</v>
      </c>
      <c r="BA86" s="113">
        <f t="shared" si="74"/>
        <v>0</v>
      </c>
      <c r="BB86" s="113">
        <f t="shared" si="74"/>
        <v>0</v>
      </c>
      <c r="BC86" s="113">
        <f t="shared" si="74"/>
        <v>0</v>
      </c>
      <c r="BD86" s="113">
        <f t="shared" si="74"/>
        <v>0</v>
      </c>
      <c r="BE86" s="113">
        <f t="shared" si="74"/>
        <v>0</v>
      </c>
      <c r="BF86" s="113">
        <f t="shared" si="74"/>
        <v>0</v>
      </c>
      <c r="BG86" s="113">
        <f t="shared" si="74"/>
        <v>0</v>
      </c>
      <c r="BH86" s="113">
        <f t="shared" si="74"/>
        <v>0</v>
      </c>
      <c r="BI86" s="113">
        <f t="shared" si="74"/>
        <v>0</v>
      </c>
      <c r="BJ86" s="113">
        <f t="shared" si="74"/>
        <v>0</v>
      </c>
      <c r="BK86" s="113">
        <f t="shared" si="74"/>
        <v>0</v>
      </c>
      <c r="BL86" s="113">
        <f t="shared" si="74"/>
        <v>0</v>
      </c>
      <c r="BM86" s="113">
        <f t="shared" si="74"/>
        <v>0</v>
      </c>
      <c r="BN86" s="113">
        <f t="shared" si="74"/>
        <v>0</v>
      </c>
      <c r="BO86" s="113">
        <f t="shared" si="74"/>
        <v>0</v>
      </c>
      <c r="BP86" s="113">
        <f t="shared" si="74"/>
        <v>0</v>
      </c>
      <c r="BQ86" s="113">
        <f t="shared" si="54"/>
        <v>0</v>
      </c>
      <c r="BR86" s="113">
        <f t="shared" si="54"/>
        <v>0</v>
      </c>
      <c r="BS86" s="113">
        <f t="shared" si="47"/>
        <v>0</v>
      </c>
      <c r="BT86" s="113">
        <f t="shared" si="48"/>
        <v>0</v>
      </c>
      <c r="BU86" s="113"/>
      <c r="BV86" s="113"/>
      <c r="BW86" s="113"/>
      <c r="BX86" s="113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08">
        <f t="shared" si="49"/>
      </c>
      <c r="CJ86" s="113"/>
      <c r="CK86" s="113"/>
      <c r="CL86" s="113"/>
      <c r="CM86" s="113"/>
    </row>
    <row r="87" spans="1:91" s="112" customFormat="1" ht="15" customHeight="1">
      <c r="A87" s="103"/>
      <c r="B87" s="104"/>
      <c r="C87" s="105"/>
      <c r="D87" s="106"/>
      <c r="E87" s="107">
        <f t="shared" si="60"/>
      </c>
      <c r="F87" s="108">
        <f t="shared" si="8"/>
      </c>
      <c r="G87" s="109"/>
      <c r="H87" s="110"/>
      <c r="I87" s="486">
        <f t="shared" si="61"/>
        <v>0</v>
      </c>
      <c r="J87" s="486">
        <f t="shared" si="3"/>
        <v>0</v>
      </c>
      <c r="K87" s="486">
        <f t="shared" si="4"/>
        <v>0</v>
      </c>
      <c r="L87" s="111">
        <f t="shared" si="10"/>
        <v>0</v>
      </c>
      <c r="M87" s="176">
        <f t="shared" si="55"/>
        <v>0</v>
      </c>
      <c r="N87" s="177">
        <f t="shared" si="70"/>
        <v>0</v>
      </c>
      <c r="P87" s="306">
        <f t="shared" si="12"/>
        <v>0</v>
      </c>
      <c r="Q87" s="71">
        <f t="shared" si="13"/>
        <v>0</v>
      </c>
      <c r="R87" s="71">
        <f t="shared" si="14"/>
        <v>0</v>
      </c>
      <c r="S87" s="71">
        <f t="shared" si="15"/>
        <v>0</v>
      </c>
      <c r="T87" s="71">
        <f>IF(kontonr&gt;1499,IF(kontonr&lt;1560,$N87),0)+IF(kontonr&gt;(Kontoplan!P$3-1),IF(kontonr&lt;(Kontoplan!P$3+300),$N87,0),0)</f>
        <v>0</v>
      </c>
      <c r="U87" s="71">
        <f t="shared" si="16"/>
        <v>0</v>
      </c>
      <c r="V87" s="71">
        <f t="shared" si="17"/>
        <v>0</v>
      </c>
      <c r="W87" s="71">
        <f t="shared" si="18"/>
        <v>0</v>
      </c>
      <c r="X87" s="71">
        <f t="shared" si="19"/>
        <v>0</v>
      </c>
      <c r="Y87" s="71">
        <f t="shared" si="20"/>
        <v>0</v>
      </c>
      <c r="Z87" s="71">
        <f>IF(kontonr&gt;2399,IF(kontonr&lt;2500,$N87),0)+IF(kontonr&gt;(Kontoplan!$P$4-1),IF(kontonr&lt;(Kontoplan!$P$4+600),$N87,0),0)</f>
        <v>0</v>
      </c>
      <c r="AA87" s="71">
        <f t="shared" si="21"/>
        <v>0</v>
      </c>
      <c r="AB87" s="71">
        <f t="shared" si="22"/>
        <v>0</v>
      </c>
      <c r="AC87" s="71">
        <f t="shared" si="23"/>
        <v>0</v>
      </c>
      <c r="AD87" s="71">
        <f t="shared" si="24"/>
        <v>0</v>
      </c>
      <c r="AE87" s="71">
        <f t="shared" si="25"/>
        <v>0</v>
      </c>
      <c r="AF87" s="306">
        <f t="shared" si="26"/>
        <v>0</v>
      </c>
      <c r="AG87" s="74">
        <f t="shared" si="27"/>
        <v>0</v>
      </c>
      <c r="AH87" s="71">
        <f t="shared" si="28"/>
        <v>0</v>
      </c>
      <c r="AI87" s="71">
        <f t="shared" si="29"/>
        <v>0</v>
      </c>
      <c r="AJ87" s="71">
        <f t="shared" si="56"/>
        <v>0</v>
      </c>
      <c r="AK87" s="71">
        <f t="shared" si="31"/>
        <v>0</v>
      </c>
      <c r="AL87" s="71">
        <f t="shared" si="32"/>
        <v>0</v>
      </c>
      <c r="AM87" s="71">
        <f t="shared" si="57"/>
        <v>0</v>
      </c>
      <c r="AN87" s="71">
        <f t="shared" si="58"/>
        <v>0</v>
      </c>
      <c r="AO87" s="71">
        <f t="shared" si="35"/>
        <v>0</v>
      </c>
      <c r="AP87" s="71">
        <f t="shared" si="36"/>
        <v>0</v>
      </c>
      <c r="AQ87" s="71">
        <f t="shared" si="37"/>
        <v>0</v>
      </c>
      <c r="AR87" s="71">
        <f t="shared" si="38"/>
        <v>0</v>
      </c>
      <c r="AS87" s="71">
        <f t="shared" si="39"/>
        <v>0</v>
      </c>
      <c r="AT87" s="71">
        <f t="shared" si="40"/>
        <v>0</v>
      </c>
      <c r="AU87" s="306">
        <f t="shared" si="41"/>
        <v>0</v>
      </c>
      <c r="AV87" s="71">
        <f t="shared" si="42"/>
        <v>0</v>
      </c>
      <c r="AW87" s="71">
        <f t="shared" si="43"/>
        <v>0</v>
      </c>
      <c r="AX87" s="71">
        <f t="shared" si="44"/>
        <v>0</v>
      </c>
      <c r="AY87" s="113">
        <f t="shared" si="59"/>
        <v>0</v>
      </c>
      <c r="AZ87" s="113">
        <f t="shared" si="71"/>
        <v>0</v>
      </c>
      <c r="BA87" s="113">
        <f t="shared" si="74"/>
        <v>0</v>
      </c>
      <c r="BB87" s="113">
        <f t="shared" si="74"/>
        <v>0</v>
      </c>
      <c r="BC87" s="113">
        <f t="shared" si="74"/>
        <v>0</v>
      </c>
      <c r="BD87" s="113">
        <f t="shared" si="74"/>
        <v>0</v>
      </c>
      <c r="BE87" s="113">
        <f t="shared" si="74"/>
        <v>0</v>
      </c>
      <c r="BF87" s="113">
        <f t="shared" si="74"/>
        <v>0</v>
      </c>
      <c r="BG87" s="113">
        <f t="shared" si="74"/>
        <v>0</v>
      </c>
      <c r="BH87" s="113">
        <f t="shared" si="74"/>
        <v>0</v>
      </c>
      <c r="BI87" s="113">
        <f t="shared" si="74"/>
        <v>0</v>
      </c>
      <c r="BJ87" s="113">
        <f t="shared" si="74"/>
        <v>0</v>
      </c>
      <c r="BK87" s="113">
        <f t="shared" si="74"/>
        <v>0</v>
      </c>
      <c r="BL87" s="113">
        <f t="shared" si="74"/>
        <v>0</v>
      </c>
      <c r="BM87" s="113">
        <f t="shared" si="74"/>
        <v>0</v>
      </c>
      <c r="BN87" s="113">
        <f t="shared" si="74"/>
        <v>0</v>
      </c>
      <c r="BO87" s="113">
        <f t="shared" si="74"/>
        <v>0</v>
      </c>
      <c r="BP87" s="113">
        <f t="shared" si="74"/>
        <v>0</v>
      </c>
      <c r="BQ87" s="113">
        <f t="shared" si="54"/>
        <v>0</v>
      </c>
      <c r="BR87" s="113">
        <f t="shared" si="54"/>
        <v>0</v>
      </c>
      <c r="BS87" s="113">
        <f t="shared" si="47"/>
        <v>0</v>
      </c>
      <c r="BT87" s="113">
        <f t="shared" si="48"/>
        <v>0</v>
      </c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08">
        <f t="shared" si="49"/>
      </c>
      <c r="CJ87" s="113"/>
      <c r="CK87" s="113"/>
      <c r="CL87" s="113"/>
      <c r="CM87" s="113"/>
    </row>
    <row r="88" spans="1:91" s="112" customFormat="1" ht="15" customHeight="1">
      <c r="A88" s="103"/>
      <c r="B88" s="104"/>
      <c r="C88" s="105"/>
      <c r="D88" s="106"/>
      <c r="E88" s="107">
        <f t="shared" si="60"/>
      </c>
      <c r="F88" s="108">
        <f t="shared" si="8"/>
      </c>
      <c r="G88" s="109"/>
      <c r="H88" s="110"/>
      <c r="I88" s="486">
        <f t="shared" si="61"/>
        <v>0</v>
      </c>
      <c r="J88" s="486">
        <f t="shared" si="3"/>
        <v>0</v>
      </c>
      <c r="K88" s="486">
        <f t="shared" si="4"/>
        <v>0</v>
      </c>
      <c r="L88" s="111">
        <f t="shared" si="10"/>
        <v>0</v>
      </c>
      <c r="M88" s="176">
        <f t="shared" si="55"/>
        <v>0</v>
      </c>
      <c r="N88" s="177">
        <f t="shared" si="70"/>
        <v>0</v>
      </c>
      <c r="P88" s="306">
        <f t="shared" si="12"/>
        <v>0</v>
      </c>
      <c r="Q88" s="71">
        <f t="shared" si="13"/>
        <v>0</v>
      </c>
      <c r="R88" s="71">
        <f t="shared" si="14"/>
        <v>0</v>
      </c>
      <c r="S88" s="71">
        <f t="shared" si="15"/>
        <v>0</v>
      </c>
      <c r="T88" s="71">
        <f>IF(kontonr&gt;1499,IF(kontonr&lt;1560,$N88),0)+IF(kontonr&gt;(Kontoplan!P$3-1),IF(kontonr&lt;(Kontoplan!P$3+300),$N88,0),0)</f>
        <v>0</v>
      </c>
      <c r="U88" s="71">
        <f t="shared" si="16"/>
        <v>0</v>
      </c>
      <c r="V88" s="71">
        <f t="shared" si="17"/>
        <v>0</v>
      </c>
      <c r="W88" s="71">
        <f t="shared" si="18"/>
        <v>0</v>
      </c>
      <c r="X88" s="71">
        <f t="shared" si="19"/>
        <v>0</v>
      </c>
      <c r="Y88" s="71">
        <f t="shared" si="20"/>
        <v>0</v>
      </c>
      <c r="Z88" s="71">
        <f>IF(kontonr&gt;2399,IF(kontonr&lt;2500,$N88),0)+IF(kontonr&gt;(Kontoplan!$P$4-1),IF(kontonr&lt;(Kontoplan!$P$4+600),$N88,0),0)</f>
        <v>0</v>
      </c>
      <c r="AA88" s="71">
        <f t="shared" si="21"/>
        <v>0</v>
      </c>
      <c r="AB88" s="71">
        <f t="shared" si="22"/>
        <v>0</v>
      </c>
      <c r="AC88" s="71">
        <f t="shared" si="23"/>
        <v>0</v>
      </c>
      <c r="AD88" s="71">
        <f t="shared" si="24"/>
        <v>0</v>
      </c>
      <c r="AE88" s="71">
        <f t="shared" si="25"/>
        <v>0</v>
      </c>
      <c r="AF88" s="306">
        <f t="shared" si="26"/>
        <v>0</v>
      </c>
      <c r="AG88" s="74">
        <f t="shared" si="27"/>
        <v>0</v>
      </c>
      <c r="AH88" s="71">
        <f t="shared" si="28"/>
        <v>0</v>
      </c>
      <c r="AI88" s="71">
        <f t="shared" si="29"/>
        <v>0</v>
      </c>
      <c r="AJ88" s="71">
        <f t="shared" si="56"/>
        <v>0</v>
      </c>
      <c r="AK88" s="71">
        <f t="shared" si="31"/>
        <v>0</v>
      </c>
      <c r="AL88" s="71">
        <f t="shared" si="32"/>
        <v>0</v>
      </c>
      <c r="AM88" s="71">
        <f t="shared" si="57"/>
        <v>0</v>
      </c>
      <c r="AN88" s="71">
        <f t="shared" si="58"/>
        <v>0</v>
      </c>
      <c r="AO88" s="71">
        <f t="shared" si="35"/>
        <v>0</v>
      </c>
      <c r="AP88" s="71">
        <f t="shared" si="36"/>
        <v>0</v>
      </c>
      <c r="AQ88" s="71">
        <f t="shared" si="37"/>
        <v>0</v>
      </c>
      <c r="AR88" s="71">
        <f t="shared" si="38"/>
        <v>0</v>
      </c>
      <c r="AS88" s="71">
        <f t="shared" si="39"/>
        <v>0</v>
      </c>
      <c r="AT88" s="71">
        <f t="shared" si="40"/>
        <v>0</v>
      </c>
      <c r="AU88" s="306">
        <f t="shared" si="41"/>
        <v>0</v>
      </c>
      <c r="AV88" s="71">
        <f t="shared" si="42"/>
        <v>0</v>
      </c>
      <c r="AW88" s="71">
        <f t="shared" si="43"/>
        <v>0</v>
      </c>
      <c r="AX88" s="71">
        <f t="shared" si="44"/>
        <v>0</v>
      </c>
      <c r="AY88" s="113">
        <f t="shared" si="59"/>
        <v>0</v>
      </c>
      <c r="AZ88" s="113">
        <f t="shared" si="71"/>
        <v>0</v>
      </c>
      <c r="BA88" s="113">
        <f t="shared" si="74"/>
        <v>0</v>
      </c>
      <c r="BB88" s="113">
        <f t="shared" si="74"/>
        <v>0</v>
      </c>
      <c r="BC88" s="113">
        <f t="shared" si="74"/>
        <v>0</v>
      </c>
      <c r="BD88" s="113">
        <f t="shared" si="74"/>
        <v>0</v>
      </c>
      <c r="BE88" s="113">
        <f t="shared" si="74"/>
        <v>0</v>
      </c>
      <c r="BF88" s="113">
        <f t="shared" si="74"/>
        <v>0</v>
      </c>
      <c r="BG88" s="113">
        <f t="shared" si="74"/>
        <v>0</v>
      </c>
      <c r="BH88" s="113">
        <f t="shared" si="74"/>
        <v>0</v>
      </c>
      <c r="BI88" s="113">
        <f t="shared" si="74"/>
        <v>0</v>
      </c>
      <c r="BJ88" s="113">
        <f t="shared" si="74"/>
        <v>0</v>
      </c>
      <c r="BK88" s="113">
        <f t="shared" si="74"/>
        <v>0</v>
      </c>
      <c r="BL88" s="113">
        <f t="shared" si="74"/>
        <v>0</v>
      </c>
      <c r="BM88" s="113">
        <f t="shared" si="74"/>
        <v>0</v>
      </c>
      <c r="BN88" s="113">
        <f t="shared" si="74"/>
        <v>0</v>
      </c>
      <c r="BO88" s="113">
        <f t="shared" si="74"/>
        <v>0</v>
      </c>
      <c r="BP88" s="113">
        <f t="shared" si="74"/>
        <v>0</v>
      </c>
      <c r="BQ88" s="113">
        <f t="shared" si="54"/>
        <v>0</v>
      </c>
      <c r="BR88" s="113">
        <f t="shared" si="54"/>
        <v>0</v>
      </c>
      <c r="BS88" s="113">
        <f t="shared" si="47"/>
        <v>0</v>
      </c>
      <c r="BT88" s="113">
        <f t="shared" si="48"/>
        <v>0</v>
      </c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08">
        <f t="shared" si="49"/>
      </c>
      <c r="CJ88" s="113"/>
      <c r="CK88" s="113"/>
      <c r="CL88" s="113"/>
      <c r="CM88" s="113"/>
    </row>
    <row r="89" spans="1:91" s="112" customFormat="1" ht="15" customHeight="1">
      <c r="A89" s="103"/>
      <c r="B89" s="104"/>
      <c r="C89" s="105"/>
      <c r="D89" s="106"/>
      <c r="E89" s="107">
        <f t="shared" si="60"/>
      </c>
      <c r="F89" s="108">
        <f t="shared" si="8"/>
      </c>
      <c r="G89" s="109"/>
      <c r="H89" s="110"/>
      <c r="I89" s="486">
        <f t="shared" si="61"/>
        <v>0</v>
      </c>
      <c r="J89" s="486">
        <f t="shared" si="3"/>
        <v>0</v>
      </c>
      <c r="K89" s="486">
        <f t="shared" si="4"/>
        <v>0</v>
      </c>
      <c r="L89" s="111">
        <f t="shared" si="10"/>
        <v>0</v>
      </c>
      <c r="M89" s="176">
        <f t="shared" si="55"/>
        <v>0</v>
      </c>
      <c r="N89" s="177">
        <f t="shared" si="70"/>
        <v>0</v>
      </c>
      <c r="P89" s="306">
        <f t="shared" si="12"/>
        <v>0</v>
      </c>
      <c r="Q89" s="71">
        <f t="shared" si="13"/>
        <v>0</v>
      </c>
      <c r="R89" s="71">
        <f t="shared" si="14"/>
        <v>0</v>
      </c>
      <c r="S89" s="71">
        <f t="shared" si="15"/>
        <v>0</v>
      </c>
      <c r="T89" s="71">
        <f>IF(kontonr&gt;1499,IF(kontonr&lt;1560,$N89),0)+IF(kontonr&gt;(Kontoplan!P$3-1),IF(kontonr&lt;(Kontoplan!P$3+300),$N89,0),0)</f>
        <v>0</v>
      </c>
      <c r="U89" s="71">
        <f t="shared" si="16"/>
        <v>0</v>
      </c>
      <c r="V89" s="71">
        <f t="shared" si="17"/>
        <v>0</v>
      </c>
      <c r="W89" s="71">
        <f t="shared" si="18"/>
        <v>0</v>
      </c>
      <c r="X89" s="71">
        <f t="shared" si="19"/>
        <v>0</v>
      </c>
      <c r="Y89" s="71">
        <f t="shared" si="20"/>
        <v>0</v>
      </c>
      <c r="Z89" s="71">
        <f>IF(kontonr&gt;2399,IF(kontonr&lt;2500,$N89),0)+IF(kontonr&gt;(Kontoplan!$P$4-1),IF(kontonr&lt;(Kontoplan!$P$4+600),$N89,0),0)</f>
        <v>0</v>
      </c>
      <c r="AA89" s="71">
        <f t="shared" si="21"/>
        <v>0</v>
      </c>
      <c r="AB89" s="71">
        <f t="shared" si="22"/>
        <v>0</v>
      </c>
      <c r="AC89" s="71">
        <f t="shared" si="23"/>
        <v>0</v>
      </c>
      <c r="AD89" s="71">
        <f t="shared" si="24"/>
        <v>0</v>
      </c>
      <c r="AE89" s="71">
        <f t="shared" si="25"/>
        <v>0</v>
      </c>
      <c r="AF89" s="306">
        <f t="shared" si="26"/>
        <v>0</v>
      </c>
      <c r="AG89" s="74">
        <f t="shared" si="27"/>
        <v>0</v>
      </c>
      <c r="AH89" s="71">
        <f t="shared" si="28"/>
        <v>0</v>
      </c>
      <c r="AI89" s="71">
        <f t="shared" si="29"/>
        <v>0</v>
      </c>
      <c r="AJ89" s="71">
        <f t="shared" si="56"/>
        <v>0</v>
      </c>
      <c r="AK89" s="71">
        <f t="shared" si="31"/>
        <v>0</v>
      </c>
      <c r="AL89" s="71">
        <f t="shared" si="32"/>
        <v>0</v>
      </c>
      <c r="AM89" s="71">
        <f t="shared" si="57"/>
        <v>0</v>
      </c>
      <c r="AN89" s="71">
        <f t="shared" si="58"/>
        <v>0</v>
      </c>
      <c r="AO89" s="71">
        <f t="shared" si="35"/>
        <v>0</v>
      </c>
      <c r="AP89" s="71">
        <f t="shared" si="36"/>
        <v>0</v>
      </c>
      <c r="AQ89" s="71">
        <f t="shared" si="37"/>
        <v>0</v>
      </c>
      <c r="AR89" s="71">
        <f t="shared" si="38"/>
        <v>0</v>
      </c>
      <c r="AS89" s="71">
        <f t="shared" si="39"/>
        <v>0</v>
      </c>
      <c r="AT89" s="71">
        <f t="shared" si="40"/>
        <v>0</v>
      </c>
      <c r="AU89" s="306">
        <f t="shared" si="41"/>
        <v>0</v>
      </c>
      <c r="AV89" s="71">
        <f t="shared" si="42"/>
        <v>0</v>
      </c>
      <c r="AW89" s="71">
        <f t="shared" si="43"/>
        <v>0</v>
      </c>
      <c r="AX89" s="71">
        <f t="shared" si="44"/>
        <v>0</v>
      </c>
      <c r="AY89" s="113">
        <f t="shared" si="59"/>
        <v>0</v>
      </c>
      <c r="AZ89" s="113">
        <f t="shared" si="71"/>
        <v>0</v>
      </c>
      <c r="BA89" s="113">
        <f t="shared" si="74"/>
        <v>0</v>
      </c>
      <c r="BB89" s="113">
        <f t="shared" si="74"/>
        <v>0</v>
      </c>
      <c r="BC89" s="113">
        <f t="shared" si="74"/>
        <v>0</v>
      </c>
      <c r="BD89" s="113">
        <f t="shared" si="74"/>
        <v>0</v>
      </c>
      <c r="BE89" s="113">
        <f t="shared" si="74"/>
        <v>0</v>
      </c>
      <c r="BF89" s="113">
        <f t="shared" si="74"/>
        <v>0</v>
      </c>
      <c r="BG89" s="113">
        <f t="shared" si="74"/>
        <v>0</v>
      </c>
      <c r="BH89" s="113">
        <f t="shared" si="74"/>
        <v>0</v>
      </c>
      <c r="BI89" s="113">
        <f t="shared" si="74"/>
        <v>0</v>
      </c>
      <c r="BJ89" s="113">
        <f t="shared" si="74"/>
        <v>0</v>
      </c>
      <c r="BK89" s="113">
        <f t="shared" si="74"/>
        <v>0</v>
      </c>
      <c r="BL89" s="113">
        <f t="shared" si="74"/>
        <v>0</v>
      </c>
      <c r="BM89" s="113">
        <f t="shared" si="74"/>
        <v>0</v>
      </c>
      <c r="BN89" s="113">
        <f t="shared" si="74"/>
        <v>0</v>
      </c>
      <c r="BO89" s="113">
        <f t="shared" si="74"/>
        <v>0</v>
      </c>
      <c r="BP89" s="113">
        <f t="shared" si="74"/>
        <v>0</v>
      </c>
      <c r="BQ89" s="113">
        <f t="shared" si="54"/>
        <v>0</v>
      </c>
      <c r="BR89" s="113">
        <f t="shared" si="54"/>
        <v>0</v>
      </c>
      <c r="BS89" s="113">
        <f t="shared" si="47"/>
        <v>0</v>
      </c>
      <c r="BT89" s="113">
        <f t="shared" si="48"/>
        <v>0</v>
      </c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08">
        <f t="shared" si="49"/>
      </c>
      <c r="CJ89" s="113"/>
      <c r="CK89" s="113"/>
      <c r="CL89" s="113"/>
      <c r="CM89" s="113"/>
    </row>
    <row r="90" spans="1:91" s="112" customFormat="1" ht="15" customHeight="1">
      <c r="A90" s="103"/>
      <c r="B90" s="104"/>
      <c r="C90" s="105"/>
      <c r="D90" s="106"/>
      <c r="E90" s="107">
        <f t="shared" si="60"/>
      </c>
      <c r="F90" s="108">
        <f t="shared" si="8"/>
      </c>
      <c r="G90" s="109"/>
      <c r="H90" s="110"/>
      <c r="I90" s="486">
        <f t="shared" si="61"/>
        <v>0</v>
      </c>
      <c r="J90" s="486">
        <f t="shared" si="3"/>
        <v>0</v>
      </c>
      <c r="K90" s="486">
        <f t="shared" si="4"/>
        <v>0</v>
      </c>
      <c r="L90" s="111">
        <f t="shared" si="10"/>
        <v>0</v>
      </c>
      <c r="M90" s="176">
        <f t="shared" si="55"/>
        <v>0</v>
      </c>
      <c r="N90" s="177">
        <f t="shared" si="70"/>
        <v>0</v>
      </c>
      <c r="P90" s="306">
        <f t="shared" si="12"/>
        <v>0</v>
      </c>
      <c r="Q90" s="71">
        <f t="shared" si="13"/>
        <v>0</v>
      </c>
      <c r="R90" s="71">
        <f t="shared" si="14"/>
        <v>0</v>
      </c>
      <c r="S90" s="71">
        <f t="shared" si="15"/>
        <v>0</v>
      </c>
      <c r="T90" s="71">
        <f>IF(kontonr&gt;1499,IF(kontonr&lt;1560,$N90),0)+IF(kontonr&gt;(Kontoplan!P$3-1),IF(kontonr&lt;(Kontoplan!P$3+300),$N90,0),0)</f>
        <v>0</v>
      </c>
      <c r="U90" s="71">
        <f t="shared" si="16"/>
        <v>0</v>
      </c>
      <c r="V90" s="71">
        <f t="shared" si="17"/>
        <v>0</v>
      </c>
      <c r="W90" s="71">
        <f t="shared" si="18"/>
        <v>0</v>
      </c>
      <c r="X90" s="71">
        <f t="shared" si="19"/>
        <v>0</v>
      </c>
      <c r="Y90" s="71">
        <f t="shared" si="20"/>
        <v>0</v>
      </c>
      <c r="Z90" s="71">
        <f>IF(kontonr&gt;2399,IF(kontonr&lt;2500,$N90),0)+IF(kontonr&gt;(Kontoplan!$P$4-1),IF(kontonr&lt;(Kontoplan!$P$4+600),$N90,0),0)</f>
        <v>0</v>
      </c>
      <c r="AA90" s="71">
        <f t="shared" si="21"/>
        <v>0</v>
      </c>
      <c r="AB90" s="71">
        <f t="shared" si="22"/>
        <v>0</v>
      </c>
      <c r="AC90" s="71">
        <f t="shared" si="23"/>
        <v>0</v>
      </c>
      <c r="AD90" s="71">
        <f t="shared" si="24"/>
        <v>0</v>
      </c>
      <c r="AE90" s="71">
        <f t="shared" si="25"/>
        <v>0</v>
      </c>
      <c r="AF90" s="306">
        <f t="shared" si="26"/>
        <v>0</v>
      </c>
      <c r="AG90" s="74">
        <f t="shared" si="27"/>
        <v>0</v>
      </c>
      <c r="AH90" s="71">
        <f t="shared" si="28"/>
        <v>0</v>
      </c>
      <c r="AI90" s="71">
        <f t="shared" si="29"/>
        <v>0</v>
      </c>
      <c r="AJ90" s="71">
        <f t="shared" si="56"/>
        <v>0</v>
      </c>
      <c r="AK90" s="71">
        <f t="shared" si="31"/>
        <v>0</v>
      </c>
      <c r="AL90" s="71">
        <f t="shared" si="32"/>
        <v>0</v>
      </c>
      <c r="AM90" s="71">
        <f t="shared" si="57"/>
        <v>0</v>
      </c>
      <c r="AN90" s="71">
        <f t="shared" si="58"/>
        <v>0</v>
      </c>
      <c r="AO90" s="71">
        <f t="shared" si="35"/>
        <v>0</v>
      </c>
      <c r="AP90" s="71">
        <f t="shared" si="36"/>
        <v>0</v>
      </c>
      <c r="AQ90" s="71">
        <f t="shared" si="37"/>
        <v>0</v>
      </c>
      <c r="AR90" s="71">
        <f t="shared" si="38"/>
        <v>0</v>
      </c>
      <c r="AS90" s="71">
        <f t="shared" si="39"/>
        <v>0</v>
      </c>
      <c r="AT90" s="71">
        <f t="shared" si="40"/>
        <v>0</v>
      </c>
      <c r="AU90" s="306">
        <f t="shared" si="41"/>
        <v>0</v>
      </c>
      <c r="AV90" s="71">
        <f t="shared" si="42"/>
        <v>0</v>
      </c>
      <c r="AW90" s="71">
        <f t="shared" si="43"/>
        <v>0</v>
      </c>
      <c r="AX90" s="71">
        <f t="shared" si="44"/>
        <v>0</v>
      </c>
      <c r="AY90" s="113">
        <f t="shared" si="59"/>
        <v>0</v>
      </c>
      <c r="AZ90" s="113">
        <f t="shared" si="71"/>
        <v>0</v>
      </c>
      <c r="BA90" s="113">
        <f t="shared" si="74"/>
        <v>0</v>
      </c>
      <c r="BB90" s="113">
        <f t="shared" si="74"/>
        <v>0</v>
      </c>
      <c r="BC90" s="113">
        <f t="shared" si="74"/>
        <v>0</v>
      </c>
      <c r="BD90" s="113">
        <f t="shared" si="74"/>
        <v>0</v>
      </c>
      <c r="BE90" s="113">
        <f t="shared" si="74"/>
        <v>0</v>
      </c>
      <c r="BF90" s="113">
        <f t="shared" si="74"/>
        <v>0</v>
      </c>
      <c r="BG90" s="113">
        <f t="shared" si="74"/>
        <v>0</v>
      </c>
      <c r="BH90" s="113">
        <f t="shared" si="74"/>
        <v>0</v>
      </c>
      <c r="BI90" s="113">
        <f t="shared" si="74"/>
        <v>0</v>
      </c>
      <c r="BJ90" s="113">
        <f t="shared" si="74"/>
        <v>0</v>
      </c>
      <c r="BK90" s="113">
        <f t="shared" si="74"/>
        <v>0</v>
      </c>
      <c r="BL90" s="113">
        <f t="shared" si="74"/>
        <v>0</v>
      </c>
      <c r="BM90" s="113">
        <f t="shared" si="74"/>
        <v>0</v>
      </c>
      <c r="BN90" s="113">
        <f t="shared" si="74"/>
        <v>0</v>
      </c>
      <c r="BO90" s="113">
        <f t="shared" si="74"/>
        <v>0</v>
      </c>
      <c r="BP90" s="113">
        <f t="shared" si="74"/>
        <v>0</v>
      </c>
      <c r="BQ90" s="113">
        <f t="shared" si="54"/>
        <v>0</v>
      </c>
      <c r="BR90" s="113">
        <f t="shared" si="54"/>
        <v>0</v>
      </c>
      <c r="BS90" s="113">
        <f t="shared" si="47"/>
        <v>0</v>
      </c>
      <c r="BT90" s="113">
        <f t="shared" si="48"/>
        <v>0</v>
      </c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08">
        <f t="shared" si="49"/>
      </c>
      <c r="CJ90" s="113"/>
      <c r="CK90" s="113"/>
      <c r="CL90" s="113"/>
      <c r="CM90" s="113"/>
    </row>
    <row r="91" spans="1:91" s="112" customFormat="1" ht="15" customHeight="1">
      <c r="A91" s="103"/>
      <c r="B91" s="104"/>
      <c r="C91" s="105"/>
      <c r="D91" s="106"/>
      <c r="E91" s="107">
        <f t="shared" si="60"/>
      </c>
      <c r="F91" s="108">
        <f t="shared" si="8"/>
      </c>
      <c r="G91" s="109"/>
      <c r="H91" s="110"/>
      <c r="I91" s="486">
        <f t="shared" si="61"/>
        <v>0</v>
      </c>
      <c r="J91" s="486">
        <f t="shared" si="3"/>
        <v>0</v>
      </c>
      <c r="K91" s="486">
        <f t="shared" si="4"/>
        <v>0</v>
      </c>
      <c r="L91" s="111">
        <f t="shared" si="10"/>
        <v>0</v>
      </c>
      <c r="M91" s="176">
        <f t="shared" si="55"/>
        <v>0</v>
      </c>
      <c r="N91" s="177">
        <f t="shared" si="70"/>
        <v>0</v>
      </c>
      <c r="P91" s="306">
        <f t="shared" si="12"/>
        <v>0</v>
      </c>
      <c r="Q91" s="71">
        <f t="shared" si="13"/>
        <v>0</v>
      </c>
      <c r="R91" s="71">
        <f t="shared" si="14"/>
        <v>0</v>
      </c>
      <c r="S91" s="71">
        <f t="shared" si="15"/>
        <v>0</v>
      </c>
      <c r="T91" s="71">
        <f>IF(kontonr&gt;1499,IF(kontonr&lt;1560,$N91),0)+IF(kontonr&gt;(Kontoplan!P$3-1),IF(kontonr&lt;(Kontoplan!P$3+300),$N91,0),0)</f>
        <v>0</v>
      </c>
      <c r="U91" s="71">
        <f t="shared" si="16"/>
        <v>0</v>
      </c>
      <c r="V91" s="71">
        <f t="shared" si="17"/>
        <v>0</v>
      </c>
      <c r="W91" s="71">
        <f t="shared" si="18"/>
        <v>0</v>
      </c>
      <c r="X91" s="71">
        <f t="shared" si="19"/>
        <v>0</v>
      </c>
      <c r="Y91" s="71">
        <f t="shared" si="20"/>
        <v>0</v>
      </c>
      <c r="Z91" s="71">
        <f>IF(kontonr&gt;2399,IF(kontonr&lt;2500,$N91),0)+IF(kontonr&gt;(Kontoplan!$P$4-1),IF(kontonr&lt;(Kontoplan!$P$4+600),$N91,0),0)</f>
        <v>0</v>
      </c>
      <c r="AA91" s="71">
        <f t="shared" si="21"/>
        <v>0</v>
      </c>
      <c r="AB91" s="71">
        <f t="shared" si="22"/>
        <v>0</v>
      </c>
      <c r="AC91" s="71">
        <f t="shared" si="23"/>
        <v>0</v>
      </c>
      <c r="AD91" s="71">
        <f t="shared" si="24"/>
        <v>0</v>
      </c>
      <c r="AE91" s="71">
        <f t="shared" si="25"/>
        <v>0</v>
      </c>
      <c r="AF91" s="306">
        <f t="shared" si="26"/>
        <v>0</v>
      </c>
      <c r="AG91" s="74">
        <f t="shared" si="27"/>
        <v>0</v>
      </c>
      <c r="AH91" s="71">
        <f t="shared" si="28"/>
        <v>0</v>
      </c>
      <c r="AI91" s="71">
        <f t="shared" si="29"/>
        <v>0</v>
      </c>
      <c r="AJ91" s="71">
        <f t="shared" si="56"/>
        <v>0</v>
      </c>
      <c r="AK91" s="71">
        <f t="shared" si="31"/>
        <v>0</v>
      </c>
      <c r="AL91" s="71">
        <f t="shared" si="32"/>
        <v>0</v>
      </c>
      <c r="AM91" s="71">
        <f t="shared" si="57"/>
        <v>0</v>
      </c>
      <c r="AN91" s="71">
        <f t="shared" si="58"/>
        <v>0</v>
      </c>
      <c r="AO91" s="71">
        <f t="shared" si="35"/>
        <v>0</v>
      </c>
      <c r="AP91" s="71">
        <f t="shared" si="36"/>
        <v>0</v>
      </c>
      <c r="AQ91" s="71">
        <f t="shared" si="37"/>
        <v>0</v>
      </c>
      <c r="AR91" s="71">
        <f t="shared" si="38"/>
        <v>0</v>
      </c>
      <c r="AS91" s="71">
        <f t="shared" si="39"/>
        <v>0</v>
      </c>
      <c r="AT91" s="71">
        <f t="shared" si="40"/>
        <v>0</v>
      </c>
      <c r="AU91" s="306">
        <f t="shared" si="41"/>
        <v>0</v>
      </c>
      <c r="AV91" s="71">
        <f t="shared" si="42"/>
        <v>0</v>
      </c>
      <c r="AW91" s="71">
        <f t="shared" si="43"/>
        <v>0</v>
      </c>
      <c r="AX91" s="71">
        <f t="shared" si="44"/>
        <v>0</v>
      </c>
      <c r="AY91" s="113">
        <f t="shared" si="59"/>
        <v>0</v>
      </c>
      <c r="AZ91" s="113">
        <f t="shared" si="71"/>
        <v>0</v>
      </c>
      <c r="BA91" s="113">
        <f t="shared" si="74"/>
        <v>0</v>
      </c>
      <c r="BB91" s="113">
        <f t="shared" si="74"/>
        <v>0</v>
      </c>
      <c r="BC91" s="113">
        <f t="shared" si="74"/>
        <v>0</v>
      </c>
      <c r="BD91" s="113">
        <f t="shared" si="74"/>
        <v>0</v>
      </c>
      <c r="BE91" s="113">
        <f t="shared" si="74"/>
        <v>0</v>
      </c>
      <c r="BF91" s="113">
        <f t="shared" si="74"/>
        <v>0</v>
      </c>
      <c r="BG91" s="113">
        <f t="shared" si="74"/>
        <v>0</v>
      </c>
      <c r="BH91" s="113">
        <f t="shared" si="74"/>
        <v>0</v>
      </c>
      <c r="BI91" s="113">
        <f t="shared" si="74"/>
        <v>0</v>
      </c>
      <c r="BJ91" s="113">
        <f t="shared" si="74"/>
        <v>0</v>
      </c>
      <c r="BK91" s="113">
        <f t="shared" si="74"/>
        <v>0</v>
      </c>
      <c r="BL91" s="113">
        <f t="shared" si="74"/>
        <v>0</v>
      </c>
      <c r="BM91" s="113">
        <f t="shared" si="74"/>
        <v>0</v>
      </c>
      <c r="BN91" s="113">
        <f t="shared" si="74"/>
        <v>0</v>
      </c>
      <c r="BO91" s="113">
        <f t="shared" si="74"/>
        <v>0</v>
      </c>
      <c r="BP91" s="113">
        <f t="shared" si="74"/>
        <v>0</v>
      </c>
      <c r="BQ91" s="113">
        <f t="shared" si="54"/>
        <v>0</v>
      </c>
      <c r="BR91" s="113">
        <f t="shared" si="54"/>
        <v>0</v>
      </c>
      <c r="BS91" s="113">
        <f t="shared" si="47"/>
        <v>0</v>
      </c>
      <c r="BT91" s="113">
        <f t="shared" si="48"/>
        <v>0</v>
      </c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08">
        <f t="shared" si="49"/>
      </c>
      <c r="CJ91" s="113"/>
      <c r="CK91" s="113"/>
      <c r="CL91" s="113"/>
      <c r="CM91" s="113"/>
    </row>
    <row r="92" spans="1:91" s="112" customFormat="1" ht="15" customHeight="1">
      <c r="A92" s="103"/>
      <c r="B92" s="104"/>
      <c r="C92" s="105"/>
      <c r="D92" s="106"/>
      <c r="E92" s="107">
        <f t="shared" si="60"/>
      </c>
      <c r="F92" s="108">
        <f t="shared" si="8"/>
      </c>
      <c r="G92" s="109"/>
      <c r="H92" s="110"/>
      <c r="I92" s="486">
        <f t="shared" si="61"/>
        <v>0</v>
      </c>
      <c r="J92" s="486">
        <f t="shared" si="3"/>
        <v>0</v>
      </c>
      <c r="K92" s="486">
        <f t="shared" si="4"/>
        <v>0</v>
      </c>
      <c r="L92" s="111">
        <f t="shared" si="10"/>
        <v>0</v>
      </c>
      <c r="M92" s="176">
        <f t="shared" si="55"/>
        <v>0</v>
      </c>
      <c r="N92" s="177">
        <f t="shared" si="70"/>
        <v>0</v>
      </c>
      <c r="P92" s="306">
        <f t="shared" si="12"/>
        <v>0</v>
      </c>
      <c r="Q92" s="71">
        <f t="shared" si="13"/>
        <v>0</v>
      </c>
      <c r="R92" s="71">
        <f t="shared" si="14"/>
        <v>0</v>
      </c>
      <c r="S92" s="71">
        <f t="shared" si="15"/>
        <v>0</v>
      </c>
      <c r="T92" s="71">
        <f>IF(kontonr&gt;1499,IF(kontonr&lt;1560,$N92),0)+IF(kontonr&gt;(Kontoplan!P$3-1),IF(kontonr&lt;(Kontoplan!P$3+300),$N92,0),0)</f>
        <v>0</v>
      </c>
      <c r="U92" s="71">
        <f t="shared" si="16"/>
        <v>0</v>
      </c>
      <c r="V92" s="71">
        <f t="shared" si="17"/>
        <v>0</v>
      </c>
      <c r="W92" s="71">
        <f t="shared" si="18"/>
        <v>0</v>
      </c>
      <c r="X92" s="71">
        <f t="shared" si="19"/>
        <v>0</v>
      </c>
      <c r="Y92" s="71">
        <f t="shared" si="20"/>
        <v>0</v>
      </c>
      <c r="Z92" s="71">
        <f>IF(kontonr&gt;2399,IF(kontonr&lt;2500,$N92),0)+IF(kontonr&gt;(Kontoplan!$P$4-1),IF(kontonr&lt;(Kontoplan!$P$4+600),$N92,0),0)</f>
        <v>0</v>
      </c>
      <c r="AA92" s="71">
        <f t="shared" si="21"/>
        <v>0</v>
      </c>
      <c r="AB92" s="71">
        <f t="shared" si="22"/>
        <v>0</v>
      </c>
      <c r="AC92" s="71">
        <f t="shared" si="23"/>
        <v>0</v>
      </c>
      <c r="AD92" s="71">
        <f t="shared" si="24"/>
        <v>0</v>
      </c>
      <c r="AE92" s="71">
        <f t="shared" si="25"/>
        <v>0</v>
      </c>
      <c r="AF92" s="306">
        <f t="shared" si="26"/>
        <v>0</v>
      </c>
      <c r="AG92" s="74">
        <f t="shared" si="27"/>
        <v>0</v>
      </c>
      <c r="AH92" s="71">
        <f t="shared" si="28"/>
        <v>0</v>
      </c>
      <c r="AI92" s="71">
        <f t="shared" si="29"/>
        <v>0</v>
      </c>
      <c r="AJ92" s="71">
        <f t="shared" si="56"/>
        <v>0</v>
      </c>
      <c r="AK92" s="71">
        <f t="shared" si="31"/>
        <v>0</v>
      </c>
      <c r="AL92" s="71">
        <f t="shared" si="32"/>
        <v>0</v>
      </c>
      <c r="AM92" s="71">
        <f t="shared" si="57"/>
        <v>0</v>
      </c>
      <c r="AN92" s="71">
        <f t="shared" si="58"/>
        <v>0</v>
      </c>
      <c r="AO92" s="71">
        <f t="shared" si="35"/>
        <v>0</v>
      </c>
      <c r="AP92" s="71">
        <f t="shared" si="36"/>
        <v>0</v>
      </c>
      <c r="AQ92" s="71">
        <f t="shared" si="37"/>
        <v>0</v>
      </c>
      <c r="AR92" s="71">
        <f t="shared" si="38"/>
        <v>0</v>
      </c>
      <c r="AS92" s="71">
        <f t="shared" si="39"/>
        <v>0</v>
      </c>
      <c r="AT92" s="71">
        <f t="shared" si="40"/>
        <v>0</v>
      </c>
      <c r="AU92" s="306">
        <f t="shared" si="41"/>
        <v>0</v>
      </c>
      <c r="AV92" s="71">
        <f t="shared" si="42"/>
        <v>0</v>
      </c>
      <c r="AW92" s="71">
        <f t="shared" si="43"/>
        <v>0</v>
      </c>
      <c r="AX92" s="71">
        <f t="shared" si="44"/>
        <v>0</v>
      </c>
      <c r="AY92" s="113">
        <f t="shared" si="59"/>
        <v>0</v>
      </c>
      <c r="AZ92" s="113">
        <f t="shared" si="71"/>
        <v>0</v>
      </c>
      <c r="BA92" s="113">
        <f t="shared" si="74"/>
        <v>0</v>
      </c>
      <c r="BB92" s="113">
        <f t="shared" si="74"/>
        <v>0</v>
      </c>
      <c r="BC92" s="113">
        <f t="shared" si="74"/>
        <v>0</v>
      </c>
      <c r="BD92" s="113">
        <f t="shared" si="74"/>
        <v>0</v>
      </c>
      <c r="BE92" s="113">
        <f t="shared" si="74"/>
        <v>0</v>
      </c>
      <c r="BF92" s="113">
        <f t="shared" si="74"/>
        <v>0</v>
      </c>
      <c r="BG92" s="113">
        <f t="shared" si="74"/>
        <v>0</v>
      </c>
      <c r="BH92" s="113">
        <f t="shared" si="74"/>
        <v>0</v>
      </c>
      <c r="BI92" s="113">
        <f t="shared" si="74"/>
        <v>0</v>
      </c>
      <c r="BJ92" s="113">
        <f t="shared" si="74"/>
        <v>0</v>
      </c>
      <c r="BK92" s="113">
        <f t="shared" si="74"/>
        <v>0</v>
      </c>
      <c r="BL92" s="113">
        <f t="shared" si="74"/>
        <v>0</v>
      </c>
      <c r="BM92" s="113">
        <f t="shared" si="74"/>
        <v>0</v>
      </c>
      <c r="BN92" s="113">
        <f t="shared" si="74"/>
        <v>0</v>
      </c>
      <c r="BO92" s="113">
        <f t="shared" si="74"/>
        <v>0</v>
      </c>
      <c r="BP92" s="113">
        <f t="shared" si="74"/>
        <v>0</v>
      </c>
      <c r="BQ92" s="113">
        <f t="shared" si="54"/>
        <v>0</v>
      </c>
      <c r="BR92" s="113">
        <f t="shared" si="54"/>
        <v>0</v>
      </c>
      <c r="BS92" s="113">
        <f t="shared" si="47"/>
        <v>0</v>
      </c>
      <c r="BT92" s="113">
        <f t="shared" si="48"/>
        <v>0</v>
      </c>
      <c r="BU92" s="113"/>
      <c r="BV92" s="113"/>
      <c r="BW92" s="113"/>
      <c r="BX92" s="113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08">
        <f t="shared" si="49"/>
      </c>
      <c r="CJ92" s="113"/>
      <c r="CK92" s="113"/>
      <c r="CL92" s="113"/>
      <c r="CM92" s="113"/>
    </row>
    <row r="93" spans="1:91" s="112" customFormat="1" ht="15" customHeight="1">
      <c r="A93" s="103"/>
      <c r="B93" s="104"/>
      <c r="C93" s="105"/>
      <c r="D93" s="106"/>
      <c r="E93" s="107">
        <f t="shared" si="60"/>
      </c>
      <c r="F93" s="108">
        <f t="shared" si="8"/>
      </c>
      <c r="G93" s="109"/>
      <c r="H93" s="110"/>
      <c r="I93" s="486">
        <f t="shared" si="61"/>
        <v>0</v>
      </c>
      <c r="J93" s="486">
        <f t="shared" si="3"/>
        <v>0</v>
      </c>
      <c r="K93" s="486">
        <f t="shared" si="4"/>
        <v>0</v>
      </c>
      <c r="L93" s="111">
        <f t="shared" si="10"/>
        <v>0</v>
      </c>
      <c r="M93" s="176">
        <f t="shared" si="55"/>
        <v>0</v>
      </c>
      <c r="N93" s="177">
        <f t="shared" si="70"/>
        <v>0</v>
      </c>
      <c r="P93" s="306">
        <f t="shared" si="12"/>
        <v>0</v>
      </c>
      <c r="Q93" s="71">
        <f t="shared" si="13"/>
        <v>0</v>
      </c>
      <c r="R93" s="71">
        <f t="shared" si="14"/>
        <v>0</v>
      </c>
      <c r="S93" s="71">
        <f t="shared" si="15"/>
        <v>0</v>
      </c>
      <c r="T93" s="71">
        <f>IF(kontonr&gt;1499,IF(kontonr&lt;1560,$N93),0)+IF(kontonr&gt;(Kontoplan!P$3-1),IF(kontonr&lt;(Kontoplan!P$3+300),$N93,0),0)</f>
        <v>0</v>
      </c>
      <c r="U93" s="71">
        <f t="shared" si="16"/>
        <v>0</v>
      </c>
      <c r="V93" s="71">
        <f t="shared" si="17"/>
        <v>0</v>
      </c>
      <c r="W93" s="71">
        <f t="shared" si="18"/>
        <v>0</v>
      </c>
      <c r="X93" s="71">
        <f t="shared" si="19"/>
        <v>0</v>
      </c>
      <c r="Y93" s="71">
        <f t="shared" si="20"/>
        <v>0</v>
      </c>
      <c r="Z93" s="71">
        <f>IF(kontonr&gt;2399,IF(kontonr&lt;2500,$N93),0)+IF(kontonr&gt;(Kontoplan!$P$4-1),IF(kontonr&lt;(Kontoplan!$P$4+600),$N93,0),0)</f>
        <v>0</v>
      </c>
      <c r="AA93" s="71">
        <f t="shared" si="21"/>
        <v>0</v>
      </c>
      <c r="AB93" s="71">
        <f t="shared" si="22"/>
        <v>0</v>
      </c>
      <c r="AC93" s="71">
        <f t="shared" si="23"/>
        <v>0</v>
      </c>
      <c r="AD93" s="71">
        <f t="shared" si="24"/>
        <v>0</v>
      </c>
      <c r="AE93" s="71">
        <f t="shared" si="25"/>
        <v>0</v>
      </c>
      <c r="AF93" s="306">
        <f t="shared" si="26"/>
        <v>0</v>
      </c>
      <c r="AG93" s="74">
        <f t="shared" si="27"/>
        <v>0</v>
      </c>
      <c r="AH93" s="71">
        <f t="shared" si="28"/>
        <v>0</v>
      </c>
      <c r="AI93" s="71">
        <f t="shared" si="29"/>
        <v>0</v>
      </c>
      <c r="AJ93" s="71">
        <f t="shared" si="56"/>
        <v>0</v>
      </c>
      <c r="AK93" s="71">
        <f t="shared" si="31"/>
        <v>0</v>
      </c>
      <c r="AL93" s="71">
        <f t="shared" si="32"/>
        <v>0</v>
      </c>
      <c r="AM93" s="71">
        <f t="shared" si="57"/>
        <v>0</v>
      </c>
      <c r="AN93" s="71">
        <f t="shared" si="58"/>
        <v>0</v>
      </c>
      <c r="AO93" s="71">
        <f t="shared" si="35"/>
        <v>0</v>
      </c>
      <c r="AP93" s="71">
        <f t="shared" si="36"/>
        <v>0</v>
      </c>
      <c r="AQ93" s="71">
        <f t="shared" si="37"/>
        <v>0</v>
      </c>
      <c r="AR93" s="71">
        <f t="shared" si="38"/>
        <v>0</v>
      </c>
      <c r="AS93" s="71">
        <f t="shared" si="39"/>
        <v>0</v>
      </c>
      <c r="AT93" s="71">
        <f t="shared" si="40"/>
        <v>0</v>
      </c>
      <c r="AU93" s="306">
        <f t="shared" si="41"/>
        <v>0</v>
      </c>
      <c r="AV93" s="71">
        <f t="shared" si="42"/>
        <v>0</v>
      </c>
      <c r="AW93" s="71">
        <f t="shared" si="43"/>
        <v>0</v>
      </c>
      <c r="AX93" s="71">
        <f t="shared" si="44"/>
        <v>0</v>
      </c>
      <c r="AY93" s="113">
        <f t="shared" si="59"/>
        <v>0</v>
      </c>
      <c r="AZ93" s="113">
        <f t="shared" si="71"/>
        <v>0</v>
      </c>
      <c r="BA93" s="113">
        <f t="shared" si="74"/>
        <v>0</v>
      </c>
      <c r="BB93" s="113">
        <f t="shared" si="74"/>
        <v>0</v>
      </c>
      <c r="BC93" s="113">
        <f t="shared" si="74"/>
        <v>0</v>
      </c>
      <c r="BD93" s="113">
        <f t="shared" si="74"/>
        <v>0</v>
      </c>
      <c r="BE93" s="113">
        <f t="shared" si="74"/>
        <v>0</v>
      </c>
      <c r="BF93" s="113">
        <f t="shared" si="74"/>
        <v>0</v>
      </c>
      <c r="BG93" s="113">
        <f t="shared" si="74"/>
        <v>0</v>
      </c>
      <c r="BH93" s="113">
        <f t="shared" si="74"/>
        <v>0</v>
      </c>
      <c r="BI93" s="113">
        <f t="shared" si="74"/>
        <v>0</v>
      </c>
      <c r="BJ93" s="113">
        <f t="shared" si="74"/>
        <v>0</v>
      </c>
      <c r="BK93" s="113">
        <f t="shared" si="74"/>
        <v>0</v>
      </c>
      <c r="BL93" s="113">
        <f t="shared" si="74"/>
        <v>0</v>
      </c>
      <c r="BM93" s="113">
        <f t="shared" si="74"/>
        <v>0</v>
      </c>
      <c r="BN93" s="113">
        <f t="shared" si="74"/>
        <v>0</v>
      </c>
      <c r="BO93" s="113">
        <f t="shared" si="74"/>
        <v>0</v>
      </c>
      <c r="BP93" s="113">
        <f t="shared" si="74"/>
        <v>0</v>
      </c>
      <c r="BQ93" s="113">
        <f t="shared" si="54"/>
        <v>0</v>
      </c>
      <c r="BR93" s="113">
        <f t="shared" si="54"/>
        <v>0</v>
      </c>
      <c r="BS93" s="113">
        <f t="shared" si="47"/>
        <v>0</v>
      </c>
      <c r="BT93" s="113">
        <f t="shared" si="48"/>
        <v>0</v>
      </c>
      <c r="BU93" s="113"/>
      <c r="BV93" s="113"/>
      <c r="BW93" s="113"/>
      <c r="BX93" s="113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08">
        <f t="shared" si="49"/>
      </c>
      <c r="CJ93" s="113"/>
      <c r="CK93" s="113"/>
      <c r="CL93" s="113"/>
      <c r="CM93" s="113"/>
    </row>
    <row r="94" spans="1:91" s="112" customFormat="1" ht="15" customHeight="1">
      <c r="A94" s="103"/>
      <c r="B94" s="104"/>
      <c r="C94" s="105"/>
      <c r="D94" s="106"/>
      <c r="E94" s="107">
        <f t="shared" si="60"/>
      </c>
      <c r="F94" s="108">
        <f t="shared" si="8"/>
      </c>
      <c r="G94" s="109"/>
      <c r="H94" s="110"/>
      <c r="I94" s="486">
        <f t="shared" si="61"/>
        <v>0</v>
      </c>
      <c r="J94" s="486">
        <f t="shared" si="3"/>
        <v>0</v>
      </c>
      <c r="K94" s="486">
        <f t="shared" si="4"/>
        <v>0</v>
      </c>
      <c r="L94" s="111">
        <f t="shared" si="10"/>
        <v>0</v>
      </c>
      <c r="M94" s="176">
        <f t="shared" si="55"/>
        <v>0</v>
      </c>
      <c r="N94" s="177">
        <f t="shared" si="70"/>
        <v>0</v>
      </c>
      <c r="P94" s="306">
        <f t="shared" si="12"/>
        <v>0</v>
      </c>
      <c r="Q94" s="71">
        <f t="shared" si="13"/>
        <v>0</v>
      </c>
      <c r="R94" s="71">
        <f t="shared" si="14"/>
        <v>0</v>
      </c>
      <c r="S94" s="71">
        <f t="shared" si="15"/>
        <v>0</v>
      </c>
      <c r="T94" s="71">
        <f>IF(kontonr&gt;1499,IF(kontonr&lt;1560,$N94),0)+IF(kontonr&gt;(Kontoplan!P$3-1),IF(kontonr&lt;(Kontoplan!P$3+300),$N94,0),0)</f>
        <v>0</v>
      </c>
      <c r="U94" s="71">
        <f t="shared" si="16"/>
        <v>0</v>
      </c>
      <c r="V94" s="71">
        <f t="shared" si="17"/>
        <v>0</v>
      </c>
      <c r="W94" s="71">
        <f t="shared" si="18"/>
        <v>0</v>
      </c>
      <c r="X94" s="71">
        <f t="shared" si="19"/>
        <v>0</v>
      </c>
      <c r="Y94" s="71">
        <f t="shared" si="20"/>
        <v>0</v>
      </c>
      <c r="Z94" s="71">
        <f>IF(kontonr&gt;2399,IF(kontonr&lt;2500,$N94),0)+IF(kontonr&gt;(Kontoplan!$P$4-1),IF(kontonr&lt;(Kontoplan!$P$4+600),$N94,0),0)</f>
        <v>0</v>
      </c>
      <c r="AA94" s="71">
        <f t="shared" si="21"/>
        <v>0</v>
      </c>
      <c r="AB94" s="71">
        <f t="shared" si="22"/>
        <v>0</v>
      </c>
      <c r="AC94" s="71">
        <f t="shared" si="23"/>
        <v>0</v>
      </c>
      <c r="AD94" s="71">
        <f t="shared" si="24"/>
        <v>0</v>
      </c>
      <c r="AE94" s="71">
        <f t="shared" si="25"/>
        <v>0</v>
      </c>
      <c r="AF94" s="306">
        <f t="shared" si="26"/>
        <v>0</v>
      </c>
      <c r="AG94" s="74">
        <f t="shared" si="27"/>
        <v>0</v>
      </c>
      <c r="AH94" s="71">
        <f t="shared" si="28"/>
        <v>0</v>
      </c>
      <c r="AI94" s="71">
        <f t="shared" si="29"/>
        <v>0</v>
      </c>
      <c r="AJ94" s="71">
        <f t="shared" si="56"/>
        <v>0</v>
      </c>
      <c r="AK94" s="71">
        <f t="shared" si="31"/>
        <v>0</v>
      </c>
      <c r="AL94" s="71">
        <f t="shared" si="32"/>
        <v>0</v>
      </c>
      <c r="AM94" s="71">
        <f t="shared" si="57"/>
        <v>0</v>
      </c>
      <c r="AN94" s="71">
        <f t="shared" si="58"/>
        <v>0</v>
      </c>
      <c r="AO94" s="71">
        <f t="shared" si="35"/>
        <v>0</v>
      </c>
      <c r="AP94" s="71">
        <f t="shared" si="36"/>
        <v>0</v>
      </c>
      <c r="AQ94" s="71">
        <f t="shared" si="37"/>
        <v>0</v>
      </c>
      <c r="AR94" s="71">
        <f t="shared" si="38"/>
        <v>0</v>
      </c>
      <c r="AS94" s="71">
        <f t="shared" si="39"/>
        <v>0</v>
      </c>
      <c r="AT94" s="71">
        <f t="shared" si="40"/>
        <v>0</v>
      </c>
      <c r="AU94" s="306">
        <f t="shared" si="41"/>
        <v>0</v>
      </c>
      <c r="AV94" s="71">
        <f t="shared" si="42"/>
        <v>0</v>
      </c>
      <c r="AW94" s="71">
        <f t="shared" si="43"/>
        <v>0</v>
      </c>
      <c r="AX94" s="71">
        <f t="shared" si="44"/>
        <v>0</v>
      </c>
      <c r="AY94" s="113">
        <f t="shared" si="59"/>
        <v>0</v>
      </c>
      <c r="AZ94" s="113">
        <f t="shared" si="71"/>
        <v>0</v>
      </c>
      <c r="BA94" s="113">
        <f t="shared" si="74"/>
        <v>0</v>
      </c>
      <c r="BB94" s="113">
        <f t="shared" si="74"/>
        <v>0</v>
      </c>
      <c r="BC94" s="113">
        <f t="shared" si="74"/>
        <v>0</v>
      </c>
      <c r="BD94" s="113">
        <f t="shared" si="74"/>
        <v>0</v>
      </c>
      <c r="BE94" s="113">
        <f t="shared" si="74"/>
        <v>0</v>
      </c>
      <c r="BF94" s="113">
        <f t="shared" si="74"/>
        <v>0</v>
      </c>
      <c r="BG94" s="113">
        <f t="shared" si="74"/>
        <v>0</v>
      </c>
      <c r="BH94" s="113">
        <f t="shared" si="74"/>
        <v>0</v>
      </c>
      <c r="BI94" s="113">
        <f t="shared" si="74"/>
        <v>0</v>
      </c>
      <c r="BJ94" s="113">
        <f t="shared" si="74"/>
        <v>0</v>
      </c>
      <c r="BK94" s="113">
        <f t="shared" si="74"/>
        <v>0</v>
      </c>
      <c r="BL94" s="113">
        <f t="shared" si="74"/>
        <v>0</v>
      </c>
      <c r="BM94" s="113">
        <f t="shared" si="74"/>
        <v>0</v>
      </c>
      <c r="BN94" s="113">
        <f t="shared" si="74"/>
        <v>0</v>
      </c>
      <c r="BO94" s="113">
        <f t="shared" si="74"/>
        <v>0</v>
      </c>
      <c r="BP94" s="113">
        <f t="shared" si="74"/>
        <v>0</v>
      </c>
      <c r="BQ94" s="113">
        <f t="shared" si="54"/>
        <v>0</v>
      </c>
      <c r="BR94" s="113">
        <f t="shared" si="54"/>
        <v>0</v>
      </c>
      <c r="BS94" s="113">
        <f t="shared" si="47"/>
        <v>0</v>
      </c>
      <c r="BT94" s="113">
        <f t="shared" si="48"/>
        <v>0</v>
      </c>
      <c r="BU94" s="113"/>
      <c r="BV94" s="113"/>
      <c r="BW94" s="113"/>
      <c r="BX94" s="113"/>
      <c r="BY94" s="113"/>
      <c r="BZ94" s="113"/>
      <c r="CA94" s="113"/>
      <c r="CB94" s="113"/>
      <c r="CC94" s="113"/>
      <c r="CD94" s="113"/>
      <c r="CE94" s="113"/>
      <c r="CF94" s="113"/>
      <c r="CG94" s="113"/>
      <c r="CH94" s="113"/>
      <c r="CI94" s="108">
        <f t="shared" si="49"/>
      </c>
      <c r="CJ94" s="113"/>
      <c r="CK94" s="113"/>
      <c r="CL94" s="113"/>
      <c r="CM94" s="113"/>
    </row>
    <row r="95" spans="1:91" s="112" customFormat="1" ht="15" customHeight="1">
      <c r="A95" s="103"/>
      <c r="B95" s="104"/>
      <c r="C95" s="105"/>
      <c r="D95" s="106"/>
      <c r="E95" s="107">
        <f t="shared" si="60"/>
      </c>
      <c r="F95" s="108">
        <f t="shared" si="8"/>
      </c>
      <c r="G95" s="109"/>
      <c r="H95" s="110"/>
      <c r="I95" s="486">
        <f t="shared" si="61"/>
        <v>0</v>
      </c>
      <c r="J95" s="486">
        <f t="shared" si="3"/>
        <v>0</v>
      </c>
      <c r="K95" s="486">
        <f t="shared" si="4"/>
        <v>0</v>
      </c>
      <c r="L95" s="111">
        <f t="shared" si="10"/>
        <v>0</v>
      </c>
      <c r="M95" s="176">
        <f t="shared" si="55"/>
        <v>0</v>
      </c>
      <c r="N95" s="177">
        <f t="shared" si="70"/>
        <v>0</v>
      </c>
      <c r="P95" s="306">
        <f t="shared" si="12"/>
        <v>0</v>
      </c>
      <c r="Q95" s="71">
        <f t="shared" si="13"/>
        <v>0</v>
      </c>
      <c r="R95" s="71">
        <f t="shared" si="14"/>
        <v>0</v>
      </c>
      <c r="S95" s="71">
        <f t="shared" si="15"/>
        <v>0</v>
      </c>
      <c r="T95" s="71">
        <f>IF(kontonr&gt;1499,IF(kontonr&lt;1560,$N95),0)+IF(kontonr&gt;(Kontoplan!P$3-1),IF(kontonr&lt;(Kontoplan!P$3+300),$N95,0),0)</f>
        <v>0</v>
      </c>
      <c r="U95" s="71">
        <f t="shared" si="16"/>
        <v>0</v>
      </c>
      <c r="V95" s="71">
        <f t="shared" si="17"/>
        <v>0</v>
      </c>
      <c r="W95" s="71">
        <f t="shared" si="18"/>
        <v>0</v>
      </c>
      <c r="X95" s="71">
        <f t="shared" si="19"/>
        <v>0</v>
      </c>
      <c r="Y95" s="71">
        <f t="shared" si="20"/>
        <v>0</v>
      </c>
      <c r="Z95" s="71">
        <f>IF(kontonr&gt;2399,IF(kontonr&lt;2500,$N95),0)+IF(kontonr&gt;(Kontoplan!$P$4-1),IF(kontonr&lt;(Kontoplan!$P$4+600),$N95,0),0)</f>
        <v>0</v>
      </c>
      <c r="AA95" s="71">
        <f t="shared" si="21"/>
        <v>0</v>
      </c>
      <c r="AB95" s="71">
        <f t="shared" si="22"/>
        <v>0</v>
      </c>
      <c r="AC95" s="71">
        <f t="shared" si="23"/>
        <v>0</v>
      </c>
      <c r="AD95" s="71">
        <f t="shared" si="24"/>
        <v>0</v>
      </c>
      <c r="AE95" s="71">
        <f t="shared" si="25"/>
        <v>0</v>
      </c>
      <c r="AF95" s="306">
        <f t="shared" si="26"/>
        <v>0</v>
      </c>
      <c r="AG95" s="74">
        <f t="shared" si="27"/>
        <v>0</v>
      </c>
      <c r="AH95" s="71">
        <f t="shared" si="28"/>
        <v>0</v>
      </c>
      <c r="AI95" s="71">
        <f t="shared" si="29"/>
        <v>0</v>
      </c>
      <c r="AJ95" s="71">
        <f t="shared" si="56"/>
        <v>0</v>
      </c>
      <c r="AK95" s="71">
        <f t="shared" si="31"/>
        <v>0</v>
      </c>
      <c r="AL95" s="71">
        <f t="shared" si="32"/>
        <v>0</v>
      </c>
      <c r="AM95" s="71">
        <f t="shared" si="57"/>
        <v>0</v>
      </c>
      <c r="AN95" s="71">
        <f t="shared" si="58"/>
        <v>0</v>
      </c>
      <c r="AO95" s="71">
        <f t="shared" si="35"/>
        <v>0</v>
      </c>
      <c r="AP95" s="71">
        <f t="shared" si="36"/>
        <v>0</v>
      </c>
      <c r="AQ95" s="71">
        <f t="shared" si="37"/>
        <v>0</v>
      </c>
      <c r="AR95" s="71">
        <f t="shared" si="38"/>
        <v>0</v>
      </c>
      <c r="AS95" s="71">
        <f t="shared" si="39"/>
        <v>0</v>
      </c>
      <c r="AT95" s="71">
        <f t="shared" si="40"/>
        <v>0</v>
      </c>
      <c r="AU95" s="306">
        <f t="shared" si="41"/>
        <v>0</v>
      </c>
      <c r="AV95" s="71">
        <f t="shared" si="42"/>
        <v>0</v>
      </c>
      <c r="AW95" s="71">
        <f t="shared" si="43"/>
        <v>0</v>
      </c>
      <c r="AX95" s="71">
        <f t="shared" si="44"/>
        <v>0</v>
      </c>
      <c r="AY95" s="113">
        <f t="shared" si="59"/>
        <v>0</v>
      </c>
      <c r="AZ95" s="113">
        <f t="shared" si="71"/>
        <v>0</v>
      </c>
      <c r="BA95" s="113">
        <f t="shared" si="74"/>
        <v>0</v>
      </c>
      <c r="BB95" s="113">
        <f t="shared" si="74"/>
        <v>0</v>
      </c>
      <c r="BC95" s="113">
        <f t="shared" si="74"/>
        <v>0</v>
      </c>
      <c r="BD95" s="113">
        <f t="shared" si="74"/>
        <v>0</v>
      </c>
      <c r="BE95" s="113">
        <f t="shared" si="74"/>
        <v>0</v>
      </c>
      <c r="BF95" s="113">
        <f t="shared" si="74"/>
        <v>0</v>
      </c>
      <c r="BG95" s="113">
        <f t="shared" si="74"/>
        <v>0</v>
      </c>
      <c r="BH95" s="113">
        <f t="shared" si="74"/>
        <v>0</v>
      </c>
      <c r="BI95" s="113">
        <f t="shared" si="74"/>
        <v>0</v>
      </c>
      <c r="BJ95" s="113">
        <f t="shared" si="74"/>
        <v>0</v>
      </c>
      <c r="BK95" s="113">
        <f t="shared" si="74"/>
        <v>0</v>
      </c>
      <c r="BL95" s="113">
        <f t="shared" si="74"/>
        <v>0</v>
      </c>
      <c r="BM95" s="113">
        <f t="shared" si="74"/>
        <v>0</v>
      </c>
      <c r="BN95" s="113">
        <f t="shared" si="74"/>
        <v>0</v>
      </c>
      <c r="BO95" s="113">
        <f t="shared" si="74"/>
        <v>0</v>
      </c>
      <c r="BP95" s="113">
        <f t="shared" si="74"/>
        <v>0</v>
      </c>
      <c r="BQ95" s="113">
        <f t="shared" si="54"/>
        <v>0</v>
      </c>
      <c r="BR95" s="113">
        <f t="shared" si="54"/>
        <v>0</v>
      </c>
      <c r="BS95" s="113">
        <f t="shared" si="47"/>
        <v>0</v>
      </c>
      <c r="BT95" s="113">
        <f t="shared" si="48"/>
        <v>0</v>
      </c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08">
        <f t="shared" si="49"/>
      </c>
      <c r="CJ95" s="113"/>
      <c r="CK95" s="113"/>
      <c r="CL95" s="113"/>
      <c r="CM95" s="113"/>
    </row>
    <row r="96" spans="1:91" s="112" customFormat="1" ht="15" customHeight="1">
      <c r="A96" s="103"/>
      <c r="B96" s="104"/>
      <c r="C96" s="105"/>
      <c r="D96" s="106"/>
      <c r="E96" s="107">
        <f t="shared" si="60"/>
      </c>
      <c r="F96" s="108">
        <f t="shared" si="8"/>
      </c>
      <c r="G96" s="109"/>
      <c r="H96" s="110"/>
      <c r="I96" s="486">
        <f t="shared" si="61"/>
        <v>0</v>
      </c>
      <c r="J96" s="486">
        <f t="shared" si="3"/>
        <v>0</v>
      </c>
      <c r="K96" s="486">
        <f t="shared" si="4"/>
        <v>0</v>
      </c>
      <c r="L96" s="111">
        <f t="shared" si="10"/>
        <v>0</v>
      </c>
      <c r="M96" s="176">
        <f t="shared" si="55"/>
        <v>0</v>
      </c>
      <c r="N96" s="177">
        <f t="shared" si="70"/>
        <v>0</v>
      </c>
      <c r="P96" s="306">
        <f t="shared" si="12"/>
        <v>0</v>
      </c>
      <c r="Q96" s="71">
        <f t="shared" si="13"/>
        <v>0</v>
      </c>
      <c r="R96" s="71">
        <f t="shared" si="14"/>
        <v>0</v>
      </c>
      <c r="S96" s="71">
        <f t="shared" si="15"/>
        <v>0</v>
      </c>
      <c r="T96" s="71">
        <f>IF(kontonr&gt;1499,IF(kontonr&lt;1560,$N96),0)+IF(kontonr&gt;(Kontoplan!P$3-1),IF(kontonr&lt;(Kontoplan!P$3+300),$N96,0),0)</f>
        <v>0</v>
      </c>
      <c r="U96" s="71">
        <f t="shared" si="16"/>
        <v>0</v>
      </c>
      <c r="V96" s="71">
        <f t="shared" si="17"/>
        <v>0</v>
      </c>
      <c r="W96" s="71">
        <f t="shared" si="18"/>
        <v>0</v>
      </c>
      <c r="X96" s="71">
        <f t="shared" si="19"/>
        <v>0</v>
      </c>
      <c r="Y96" s="71">
        <f t="shared" si="20"/>
        <v>0</v>
      </c>
      <c r="Z96" s="71">
        <f>IF(kontonr&gt;2399,IF(kontonr&lt;2500,$N96),0)+IF(kontonr&gt;(Kontoplan!$P$4-1),IF(kontonr&lt;(Kontoplan!$P$4+600),$N96,0),0)</f>
        <v>0</v>
      </c>
      <c r="AA96" s="71">
        <f t="shared" si="21"/>
        <v>0</v>
      </c>
      <c r="AB96" s="71">
        <f t="shared" si="22"/>
        <v>0</v>
      </c>
      <c r="AC96" s="71">
        <f t="shared" si="23"/>
        <v>0</v>
      </c>
      <c r="AD96" s="71">
        <f t="shared" si="24"/>
        <v>0</v>
      </c>
      <c r="AE96" s="71">
        <f t="shared" si="25"/>
        <v>0</v>
      </c>
      <c r="AF96" s="306">
        <f t="shared" si="26"/>
        <v>0</v>
      </c>
      <c r="AG96" s="74">
        <f t="shared" si="27"/>
        <v>0</v>
      </c>
      <c r="AH96" s="71">
        <f t="shared" si="28"/>
        <v>0</v>
      </c>
      <c r="AI96" s="71">
        <f t="shared" si="29"/>
        <v>0</v>
      </c>
      <c r="AJ96" s="71">
        <f t="shared" si="56"/>
        <v>0</v>
      </c>
      <c r="AK96" s="71">
        <f t="shared" si="31"/>
        <v>0</v>
      </c>
      <c r="AL96" s="71">
        <f t="shared" si="32"/>
        <v>0</v>
      </c>
      <c r="AM96" s="71">
        <f t="shared" si="57"/>
        <v>0</v>
      </c>
      <c r="AN96" s="71">
        <f t="shared" si="58"/>
        <v>0</v>
      </c>
      <c r="AO96" s="71">
        <f t="shared" si="35"/>
        <v>0</v>
      </c>
      <c r="AP96" s="71">
        <f t="shared" si="36"/>
        <v>0</v>
      </c>
      <c r="AQ96" s="71">
        <f t="shared" si="37"/>
        <v>0</v>
      </c>
      <c r="AR96" s="71">
        <f t="shared" si="38"/>
        <v>0</v>
      </c>
      <c r="AS96" s="71">
        <f t="shared" si="39"/>
        <v>0</v>
      </c>
      <c r="AT96" s="71">
        <f t="shared" si="40"/>
        <v>0</v>
      </c>
      <c r="AU96" s="306">
        <f t="shared" si="41"/>
        <v>0</v>
      </c>
      <c r="AV96" s="71">
        <f t="shared" si="42"/>
        <v>0</v>
      </c>
      <c r="AW96" s="71">
        <f t="shared" si="43"/>
        <v>0</v>
      </c>
      <c r="AX96" s="71">
        <f t="shared" si="44"/>
        <v>0</v>
      </c>
      <c r="AY96" s="113">
        <f t="shared" si="59"/>
        <v>0</v>
      </c>
      <c r="AZ96" s="113">
        <f t="shared" si="71"/>
        <v>0</v>
      </c>
      <c r="BA96" s="113">
        <f t="shared" si="74"/>
        <v>0</v>
      </c>
      <c r="BB96" s="113">
        <f t="shared" si="74"/>
        <v>0</v>
      </c>
      <c r="BC96" s="113">
        <f t="shared" si="74"/>
        <v>0</v>
      </c>
      <c r="BD96" s="113">
        <f t="shared" si="74"/>
        <v>0</v>
      </c>
      <c r="BE96" s="113">
        <f t="shared" si="74"/>
        <v>0</v>
      </c>
      <c r="BF96" s="113">
        <f t="shared" si="74"/>
        <v>0</v>
      </c>
      <c r="BG96" s="113">
        <f t="shared" si="74"/>
        <v>0</v>
      </c>
      <c r="BH96" s="113">
        <f t="shared" si="74"/>
        <v>0</v>
      </c>
      <c r="BI96" s="113">
        <f t="shared" si="74"/>
        <v>0</v>
      </c>
      <c r="BJ96" s="113">
        <f t="shared" si="74"/>
        <v>0</v>
      </c>
      <c r="BK96" s="113">
        <f t="shared" si="74"/>
        <v>0</v>
      </c>
      <c r="BL96" s="113">
        <f aca="true" t="shared" si="75" ref="BA96:BP100">IF(kontonr=BL$5,$N96,0)</f>
        <v>0</v>
      </c>
      <c r="BM96" s="113">
        <f t="shared" si="75"/>
        <v>0</v>
      </c>
      <c r="BN96" s="113">
        <f t="shared" si="75"/>
        <v>0</v>
      </c>
      <c r="BO96" s="113">
        <f t="shared" si="75"/>
        <v>0</v>
      </c>
      <c r="BP96" s="113">
        <f t="shared" si="75"/>
        <v>0</v>
      </c>
      <c r="BQ96" s="113">
        <f t="shared" si="54"/>
        <v>0</v>
      </c>
      <c r="BR96" s="113">
        <f t="shared" si="54"/>
        <v>0</v>
      </c>
      <c r="BS96" s="113">
        <f t="shared" si="47"/>
        <v>0</v>
      </c>
      <c r="BT96" s="113">
        <f t="shared" si="48"/>
        <v>0</v>
      </c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08">
        <f t="shared" si="49"/>
      </c>
      <c r="CJ96" s="113"/>
      <c r="CK96" s="113"/>
      <c r="CL96" s="113"/>
      <c r="CM96" s="113"/>
    </row>
    <row r="97" spans="1:91" s="112" customFormat="1" ht="15" customHeight="1">
      <c r="A97" s="103"/>
      <c r="B97" s="104"/>
      <c r="C97" s="105"/>
      <c r="D97" s="106"/>
      <c r="E97" s="107">
        <f t="shared" si="60"/>
      </c>
      <c r="F97" s="108">
        <f t="shared" si="8"/>
      </c>
      <c r="G97" s="109"/>
      <c r="H97" s="110"/>
      <c r="I97" s="486">
        <f t="shared" si="61"/>
        <v>0</v>
      </c>
      <c r="J97" s="486">
        <f t="shared" si="3"/>
        <v>0</v>
      </c>
      <c r="K97" s="486">
        <f t="shared" si="4"/>
        <v>0</v>
      </c>
      <c r="L97" s="111">
        <f t="shared" si="10"/>
        <v>0</v>
      </c>
      <c r="M97" s="176">
        <f t="shared" si="55"/>
        <v>0</v>
      </c>
      <c r="N97" s="177">
        <f t="shared" si="70"/>
        <v>0</v>
      </c>
      <c r="P97" s="306">
        <f t="shared" si="12"/>
        <v>0</v>
      </c>
      <c r="Q97" s="71">
        <f t="shared" si="13"/>
        <v>0</v>
      </c>
      <c r="R97" s="71">
        <f t="shared" si="14"/>
        <v>0</v>
      </c>
      <c r="S97" s="71">
        <f t="shared" si="15"/>
        <v>0</v>
      </c>
      <c r="T97" s="71">
        <f>IF(kontonr&gt;1499,IF(kontonr&lt;1560,$N97),0)+IF(kontonr&gt;(Kontoplan!P$3-1),IF(kontonr&lt;(Kontoplan!P$3+300),$N97,0),0)</f>
        <v>0</v>
      </c>
      <c r="U97" s="71">
        <f t="shared" si="16"/>
        <v>0</v>
      </c>
      <c r="V97" s="71">
        <f t="shared" si="17"/>
        <v>0</v>
      </c>
      <c r="W97" s="71">
        <f t="shared" si="18"/>
        <v>0</v>
      </c>
      <c r="X97" s="71">
        <f t="shared" si="19"/>
        <v>0</v>
      </c>
      <c r="Y97" s="71">
        <f t="shared" si="20"/>
        <v>0</v>
      </c>
      <c r="Z97" s="71">
        <f>IF(kontonr&gt;2399,IF(kontonr&lt;2500,$N97),0)+IF(kontonr&gt;(Kontoplan!$P$4-1),IF(kontonr&lt;(Kontoplan!$P$4+600),$N97,0),0)</f>
        <v>0</v>
      </c>
      <c r="AA97" s="71">
        <f t="shared" si="21"/>
        <v>0</v>
      </c>
      <c r="AB97" s="71">
        <f t="shared" si="22"/>
        <v>0</v>
      </c>
      <c r="AC97" s="71">
        <f t="shared" si="23"/>
        <v>0</v>
      </c>
      <c r="AD97" s="71">
        <f t="shared" si="24"/>
        <v>0</v>
      </c>
      <c r="AE97" s="71">
        <f t="shared" si="25"/>
        <v>0</v>
      </c>
      <c r="AF97" s="306">
        <f t="shared" si="26"/>
        <v>0</v>
      </c>
      <c r="AG97" s="74">
        <f t="shared" si="27"/>
        <v>0</v>
      </c>
      <c r="AH97" s="71">
        <f t="shared" si="28"/>
        <v>0</v>
      </c>
      <c r="AI97" s="71">
        <f t="shared" si="29"/>
        <v>0</v>
      </c>
      <c r="AJ97" s="71">
        <f t="shared" si="56"/>
        <v>0</v>
      </c>
      <c r="AK97" s="71">
        <f t="shared" si="31"/>
        <v>0</v>
      </c>
      <c r="AL97" s="71">
        <f t="shared" si="32"/>
        <v>0</v>
      </c>
      <c r="AM97" s="71">
        <f t="shared" si="57"/>
        <v>0</v>
      </c>
      <c r="AN97" s="71">
        <f t="shared" si="58"/>
        <v>0</v>
      </c>
      <c r="AO97" s="71">
        <f t="shared" si="35"/>
        <v>0</v>
      </c>
      <c r="AP97" s="71">
        <f t="shared" si="36"/>
        <v>0</v>
      </c>
      <c r="AQ97" s="71">
        <f t="shared" si="37"/>
        <v>0</v>
      </c>
      <c r="AR97" s="71">
        <f t="shared" si="38"/>
        <v>0</v>
      </c>
      <c r="AS97" s="71">
        <f t="shared" si="39"/>
        <v>0</v>
      </c>
      <c r="AT97" s="71">
        <f t="shared" si="40"/>
        <v>0</v>
      </c>
      <c r="AU97" s="306">
        <f t="shared" si="41"/>
        <v>0</v>
      </c>
      <c r="AV97" s="71">
        <f t="shared" si="42"/>
        <v>0</v>
      </c>
      <c r="AW97" s="71">
        <f t="shared" si="43"/>
        <v>0</v>
      </c>
      <c r="AX97" s="71">
        <f t="shared" si="44"/>
        <v>0</v>
      </c>
      <c r="AY97" s="113">
        <f t="shared" si="59"/>
        <v>0</v>
      </c>
      <c r="AZ97" s="113">
        <f t="shared" si="71"/>
        <v>0</v>
      </c>
      <c r="BA97" s="113">
        <f t="shared" si="75"/>
        <v>0</v>
      </c>
      <c r="BB97" s="113">
        <f t="shared" si="75"/>
        <v>0</v>
      </c>
      <c r="BC97" s="113">
        <f t="shared" si="75"/>
        <v>0</v>
      </c>
      <c r="BD97" s="113">
        <f t="shared" si="75"/>
        <v>0</v>
      </c>
      <c r="BE97" s="113">
        <f t="shared" si="75"/>
        <v>0</v>
      </c>
      <c r="BF97" s="113">
        <f t="shared" si="75"/>
        <v>0</v>
      </c>
      <c r="BG97" s="113">
        <f t="shared" si="75"/>
        <v>0</v>
      </c>
      <c r="BH97" s="113">
        <f t="shared" si="75"/>
        <v>0</v>
      </c>
      <c r="BI97" s="113">
        <f t="shared" si="75"/>
        <v>0</v>
      </c>
      <c r="BJ97" s="113">
        <f t="shared" si="75"/>
        <v>0</v>
      </c>
      <c r="BK97" s="113">
        <f t="shared" si="75"/>
        <v>0</v>
      </c>
      <c r="BL97" s="113">
        <f t="shared" si="75"/>
        <v>0</v>
      </c>
      <c r="BM97" s="113">
        <f t="shared" si="75"/>
        <v>0</v>
      </c>
      <c r="BN97" s="113">
        <f t="shared" si="75"/>
        <v>0</v>
      </c>
      <c r="BO97" s="113">
        <f t="shared" si="75"/>
        <v>0</v>
      </c>
      <c r="BP97" s="113">
        <f t="shared" si="75"/>
        <v>0</v>
      </c>
      <c r="BQ97" s="113">
        <f t="shared" si="54"/>
        <v>0</v>
      </c>
      <c r="BR97" s="113">
        <f t="shared" si="54"/>
        <v>0</v>
      </c>
      <c r="BS97" s="113">
        <f t="shared" si="47"/>
        <v>0</v>
      </c>
      <c r="BT97" s="113">
        <f t="shared" si="48"/>
        <v>0</v>
      </c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08">
        <f t="shared" si="49"/>
      </c>
      <c r="CJ97" s="113"/>
      <c r="CK97" s="113"/>
      <c r="CL97" s="113"/>
      <c r="CM97" s="113"/>
    </row>
    <row r="98" spans="1:91" s="112" customFormat="1" ht="15" customHeight="1">
      <c r="A98" s="103"/>
      <c r="B98" s="104"/>
      <c r="C98" s="105"/>
      <c r="D98" s="106"/>
      <c r="E98" s="107">
        <f t="shared" si="60"/>
      </c>
      <c r="F98" s="108">
        <f t="shared" si="8"/>
      </c>
      <c r="G98" s="109"/>
      <c r="H98" s="110"/>
      <c r="I98" s="486">
        <f t="shared" si="61"/>
        <v>0</v>
      </c>
      <c r="J98" s="486">
        <f t="shared" si="3"/>
        <v>0</v>
      </c>
      <c r="K98" s="486">
        <f t="shared" si="4"/>
        <v>0</v>
      </c>
      <c r="L98" s="111">
        <f t="shared" si="10"/>
        <v>0</v>
      </c>
      <c r="M98" s="176">
        <f t="shared" si="55"/>
        <v>0</v>
      </c>
      <c r="N98" s="177">
        <f t="shared" si="70"/>
        <v>0</v>
      </c>
      <c r="P98" s="306">
        <f t="shared" si="12"/>
        <v>0</v>
      </c>
      <c r="Q98" s="71">
        <f t="shared" si="13"/>
        <v>0</v>
      </c>
      <c r="R98" s="71">
        <f t="shared" si="14"/>
        <v>0</v>
      </c>
      <c r="S98" s="71">
        <f t="shared" si="15"/>
        <v>0</v>
      </c>
      <c r="T98" s="71">
        <f>IF(kontonr&gt;1499,IF(kontonr&lt;1560,$N98),0)+IF(kontonr&gt;(Kontoplan!P$3-1),IF(kontonr&lt;(Kontoplan!P$3+300),$N98,0),0)</f>
        <v>0</v>
      </c>
      <c r="U98" s="71">
        <f t="shared" si="16"/>
        <v>0</v>
      </c>
      <c r="V98" s="71">
        <f t="shared" si="17"/>
        <v>0</v>
      </c>
      <c r="W98" s="71">
        <f t="shared" si="18"/>
        <v>0</v>
      </c>
      <c r="X98" s="71">
        <f t="shared" si="19"/>
        <v>0</v>
      </c>
      <c r="Y98" s="71">
        <f t="shared" si="20"/>
        <v>0</v>
      </c>
      <c r="Z98" s="71">
        <f>IF(kontonr&gt;2399,IF(kontonr&lt;2500,$N98),0)+IF(kontonr&gt;(Kontoplan!$P$4-1),IF(kontonr&lt;(Kontoplan!$P$4+600),$N98,0),0)</f>
        <v>0</v>
      </c>
      <c r="AA98" s="71">
        <f t="shared" si="21"/>
        <v>0</v>
      </c>
      <c r="AB98" s="71">
        <f t="shared" si="22"/>
        <v>0</v>
      </c>
      <c r="AC98" s="71">
        <f t="shared" si="23"/>
        <v>0</v>
      </c>
      <c r="AD98" s="71">
        <f t="shared" si="24"/>
        <v>0</v>
      </c>
      <c r="AE98" s="71">
        <f t="shared" si="25"/>
        <v>0</v>
      </c>
      <c r="AF98" s="306">
        <f t="shared" si="26"/>
        <v>0</v>
      </c>
      <c r="AG98" s="74">
        <f t="shared" si="27"/>
        <v>0</v>
      </c>
      <c r="AH98" s="71">
        <f t="shared" si="28"/>
        <v>0</v>
      </c>
      <c r="AI98" s="71">
        <f t="shared" si="29"/>
        <v>0</v>
      </c>
      <c r="AJ98" s="71">
        <f t="shared" si="56"/>
        <v>0</v>
      </c>
      <c r="AK98" s="71">
        <f t="shared" si="31"/>
        <v>0</v>
      </c>
      <c r="AL98" s="71">
        <f t="shared" si="32"/>
        <v>0</v>
      </c>
      <c r="AM98" s="71">
        <f t="shared" si="57"/>
        <v>0</v>
      </c>
      <c r="AN98" s="71">
        <f t="shared" si="58"/>
        <v>0</v>
      </c>
      <c r="AO98" s="71">
        <f t="shared" si="35"/>
        <v>0</v>
      </c>
      <c r="AP98" s="71">
        <f t="shared" si="36"/>
        <v>0</v>
      </c>
      <c r="AQ98" s="71">
        <f t="shared" si="37"/>
        <v>0</v>
      </c>
      <c r="AR98" s="71">
        <f t="shared" si="38"/>
        <v>0</v>
      </c>
      <c r="AS98" s="71">
        <f t="shared" si="39"/>
        <v>0</v>
      </c>
      <c r="AT98" s="71">
        <f t="shared" si="40"/>
        <v>0</v>
      </c>
      <c r="AU98" s="306">
        <f t="shared" si="41"/>
        <v>0</v>
      </c>
      <c r="AV98" s="71">
        <f t="shared" si="42"/>
        <v>0</v>
      </c>
      <c r="AW98" s="71">
        <f t="shared" si="43"/>
        <v>0</v>
      </c>
      <c r="AX98" s="71">
        <f t="shared" si="44"/>
        <v>0</v>
      </c>
      <c r="AY98" s="113">
        <f t="shared" si="59"/>
        <v>0</v>
      </c>
      <c r="AZ98" s="113">
        <f t="shared" si="71"/>
        <v>0</v>
      </c>
      <c r="BA98" s="113">
        <f t="shared" si="75"/>
        <v>0</v>
      </c>
      <c r="BB98" s="113">
        <f t="shared" si="75"/>
        <v>0</v>
      </c>
      <c r="BC98" s="113">
        <f t="shared" si="75"/>
        <v>0</v>
      </c>
      <c r="BD98" s="113">
        <f t="shared" si="75"/>
        <v>0</v>
      </c>
      <c r="BE98" s="113">
        <f t="shared" si="75"/>
        <v>0</v>
      </c>
      <c r="BF98" s="113">
        <f t="shared" si="75"/>
        <v>0</v>
      </c>
      <c r="BG98" s="113">
        <f t="shared" si="75"/>
        <v>0</v>
      </c>
      <c r="BH98" s="113">
        <f t="shared" si="75"/>
        <v>0</v>
      </c>
      <c r="BI98" s="113">
        <f t="shared" si="75"/>
        <v>0</v>
      </c>
      <c r="BJ98" s="113">
        <f t="shared" si="75"/>
        <v>0</v>
      </c>
      <c r="BK98" s="113">
        <f t="shared" si="75"/>
        <v>0</v>
      </c>
      <c r="BL98" s="113">
        <f t="shared" si="75"/>
        <v>0</v>
      </c>
      <c r="BM98" s="113">
        <f t="shared" si="75"/>
        <v>0</v>
      </c>
      <c r="BN98" s="113">
        <f t="shared" si="75"/>
        <v>0</v>
      </c>
      <c r="BO98" s="113">
        <f t="shared" si="75"/>
        <v>0</v>
      </c>
      <c r="BP98" s="113">
        <f t="shared" si="75"/>
        <v>0</v>
      </c>
      <c r="BQ98" s="113">
        <f t="shared" si="54"/>
        <v>0</v>
      </c>
      <c r="BR98" s="113">
        <f t="shared" si="54"/>
        <v>0</v>
      </c>
      <c r="BS98" s="113">
        <f t="shared" si="47"/>
        <v>0</v>
      </c>
      <c r="BT98" s="113">
        <f t="shared" si="48"/>
        <v>0</v>
      </c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08">
        <f t="shared" si="49"/>
      </c>
      <c r="CJ98" s="113"/>
      <c r="CK98" s="113"/>
      <c r="CL98" s="113"/>
      <c r="CM98" s="113"/>
    </row>
    <row r="99" spans="1:91" s="112" customFormat="1" ht="15" customHeight="1">
      <c r="A99" s="103"/>
      <c r="B99" s="104"/>
      <c r="C99" s="105"/>
      <c r="D99" s="106"/>
      <c r="E99" s="107">
        <f t="shared" si="60"/>
      </c>
      <c r="F99" s="108">
        <f t="shared" si="8"/>
      </c>
      <c r="G99" s="109"/>
      <c r="H99" s="110"/>
      <c r="I99" s="486">
        <f t="shared" si="61"/>
        <v>0</v>
      </c>
      <c r="J99" s="486">
        <f t="shared" si="3"/>
        <v>0</v>
      </c>
      <c r="K99" s="486">
        <f t="shared" si="4"/>
        <v>0</v>
      </c>
      <c r="L99" s="111">
        <f t="shared" si="10"/>
        <v>0</v>
      </c>
      <c r="M99" s="176">
        <f t="shared" si="55"/>
        <v>0</v>
      </c>
      <c r="N99" s="177">
        <f t="shared" si="70"/>
        <v>0</v>
      </c>
      <c r="P99" s="306">
        <f t="shared" si="12"/>
        <v>0</v>
      </c>
      <c r="Q99" s="71">
        <f t="shared" si="13"/>
        <v>0</v>
      </c>
      <c r="R99" s="71">
        <f t="shared" si="14"/>
        <v>0</v>
      </c>
      <c r="S99" s="71">
        <f t="shared" si="15"/>
        <v>0</v>
      </c>
      <c r="T99" s="71">
        <f>IF(kontonr&gt;1499,IF(kontonr&lt;1560,$N99),0)+IF(kontonr&gt;(Kontoplan!P$3-1),IF(kontonr&lt;(Kontoplan!P$3+300),$N99,0),0)</f>
        <v>0</v>
      </c>
      <c r="U99" s="71">
        <f t="shared" si="16"/>
        <v>0</v>
      </c>
      <c r="V99" s="71">
        <f t="shared" si="17"/>
        <v>0</v>
      </c>
      <c r="W99" s="71">
        <f t="shared" si="18"/>
        <v>0</v>
      </c>
      <c r="X99" s="71">
        <f t="shared" si="19"/>
        <v>0</v>
      </c>
      <c r="Y99" s="71">
        <f t="shared" si="20"/>
        <v>0</v>
      </c>
      <c r="Z99" s="71">
        <f>IF(kontonr&gt;2399,IF(kontonr&lt;2500,$N99),0)+IF(kontonr&gt;(Kontoplan!$P$4-1),IF(kontonr&lt;(Kontoplan!$P$4+600),$N99,0),0)</f>
        <v>0</v>
      </c>
      <c r="AA99" s="71">
        <f t="shared" si="21"/>
        <v>0</v>
      </c>
      <c r="AB99" s="71">
        <f t="shared" si="22"/>
        <v>0</v>
      </c>
      <c r="AC99" s="71">
        <f t="shared" si="23"/>
        <v>0</v>
      </c>
      <c r="AD99" s="71">
        <f t="shared" si="24"/>
        <v>0</v>
      </c>
      <c r="AE99" s="71">
        <f t="shared" si="25"/>
        <v>0</v>
      </c>
      <c r="AF99" s="306">
        <f t="shared" si="26"/>
        <v>0</v>
      </c>
      <c r="AG99" s="74">
        <f t="shared" si="27"/>
        <v>0</v>
      </c>
      <c r="AH99" s="71">
        <f t="shared" si="28"/>
        <v>0</v>
      </c>
      <c r="AI99" s="71">
        <f t="shared" si="29"/>
        <v>0</v>
      </c>
      <c r="AJ99" s="71">
        <f t="shared" si="56"/>
        <v>0</v>
      </c>
      <c r="AK99" s="71">
        <f t="shared" si="31"/>
        <v>0</v>
      </c>
      <c r="AL99" s="71">
        <f t="shared" si="32"/>
        <v>0</v>
      </c>
      <c r="AM99" s="71">
        <f t="shared" si="57"/>
        <v>0</v>
      </c>
      <c r="AN99" s="71">
        <f t="shared" si="58"/>
        <v>0</v>
      </c>
      <c r="AO99" s="71">
        <f t="shared" si="35"/>
        <v>0</v>
      </c>
      <c r="AP99" s="71">
        <f t="shared" si="36"/>
        <v>0</v>
      </c>
      <c r="AQ99" s="71">
        <f t="shared" si="37"/>
        <v>0</v>
      </c>
      <c r="AR99" s="71">
        <f t="shared" si="38"/>
        <v>0</v>
      </c>
      <c r="AS99" s="71">
        <f t="shared" si="39"/>
        <v>0</v>
      </c>
      <c r="AT99" s="71">
        <f t="shared" si="40"/>
        <v>0</v>
      </c>
      <c r="AU99" s="306">
        <f t="shared" si="41"/>
        <v>0</v>
      </c>
      <c r="AV99" s="71">
        <f t="shared" si="42"/>
        <v>0</v>
      </c>
      <c r="AW99" s="71">
        <f t="shared" si="43"/>
        <v>0</v>
      </c>
      <c r="AX99" s="71">
        <f t="shared" si="44"/>
        <v>0</v>
      </c>
      <c r="AY99" s="113">
        <f t="shared" si="59"/>
        <v>0</v>
      </c>
      <c r="AZ99" s="113">
        <f t="shared" si="71"/>
        <v>0</v>
      </c>
      <c r="BA99" s="113">
        <f t="shared" si="75"/>
        <v>0</v>
      </c>
      <c r="BB99" s="113">
        <f t="shared" si="75"/>
        <v>0</v>
      </c>
      <c r="BC99" s="113">
        <f t="shared" si="75"/>
        <v>0</v>
      </c>
      <c r="BD99" s="113">
        <f t="shared" si="75"/>
        <v>0</v>
      </c>
      <c r="BE99" s="113">
        <f t="shared" si="75"/>
        <v>0</v>
      </c>
      <c r="BF99" s="113">
        <f t="shared" si="75"/>
        <v>0</v>
      </c>
      <c r="BG99" s="113">
        <f t="shared" si="75"/>
        <v>0</v>
      </c>
      <c r="BH99" s="113">
        <f t="shared" si="75"/>
        <v>0</v>
      </c>
      <c r="BI99" s="113">
        <f t="shared" si="75"/>
        <v>0</v>
      </c>
      <c r="BJ99" s="113">
        <f t="shared" si="75"/>
        <v>0</v>
      </c>
      <c r="BK99" s="113">
        <f t="shared" si="75"/>
        <v>0</v>
      </c>
      <c r="BL99" s="113">
        <f t="shared" si="75"/>
        <v>0</v>
      </c>
      <c r="BM99" s="113">
        <f t="shared" si="75"/>
        <v>0</v>
      </c>
      <c r="BN99" s="113">
        <f t="shared" si="75"/>
        <v>0</v>
      </c>
      <c r="BO99" s="113">
        <f t="shared" si="75"/>
        <v>0</v>
      </c>
      <c r="BP99" s="113">
        <f t="shared" si="75"/>
        <v>0</v>
      </c>
      <c r="BQ99" s="113">
        <f t="shared" si="54"/>
        <v>0</v>
      </c>
      <c r="BR99" s="113">
        <f t="shared" si="54"/>
        <v>0</v>
      </c>
      <c r="BS99" s="113">
        <f t="shared" si="47"/>
        <v>0</v>
      </c>
      <c r="BT99" s="113">
        <f t="shared" si="48"/>
        <v>0</v>
      </c>
      <c r="BU99" s="113"/>
      <c r="BV99" s="113"/>
      <c r="BW99" s="113"/>
      <c r="BX99" s="113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08">
        <f t="shared" si="49"/>
      </c>
      <c r="CJ99" s="113"/>
      <c r="CK99" s="113"/>
      <c r="CL99" s="113"/>
      <c r="CM99" s="113"/>
    </row>
    <row r="100" spans="1:91" s="112" customFormat="1" ht="15" customHeight="1">
      <c r="A100" s="103"/>
      <c r="B100" s="104"/>
      <c r="C100" s="105"/>
      <c r="D100" s="106"/>
      <c r="E100" s="107">
        <f t="shared" si="60"/>
      </c>
      <c r="F100" s="108">
        <f t="shared" si="8"/>
      </c>
      <c r="G100" s="109"/>
      <c r="H100" s="110"/>
      <c r="I100" s="486">
        <f t="shared" si="61"/>
        <v>0</v>
      </c>
      <c r="J100" s="486">
        <f t="shared" si="3"/>
        <v>0</v>
      </c>
      <c r="K100" s="486">
        <f t="shared" si="4"/>
        <v>0</v>
      </c>
      <c r="L100" s="111">
        <f t="shared" si="10"/>
        <v>0</v>
      </c>
      <c r="M100" s="176">
        <f t="shared" si="55"/>
        <v>0</v>
      </c>
      <c r="N100" s="177">
        <f t="shared" si="70"/>
        <v>0</v>
      </c>
      <c r="P100" s="306">
        <f t="shared" si="12"/>
        <v>0</v>
      </c>
      <c r="Q100" s="71">
        <f t="shared" si="13"/>
        <v>0</v>
      </c>
      <c r="R100" s="71">
        <f t="shared" si="14"/>
        <v>0</v>
      </c>
      <c r="S100" s="71">
        <f t="shared" si="15"/>
        <v>0</v>
      </c>
      <c r="T100" s="71">
        <f>IF(kontonr&gt;1499,IF(kontonr&lt;1560,$N100),0)+IF(kontonr&gt;(Kontoplan!P$3-1),IF(kontonr&lt;(Kontoplan!P$3+300),$N100,0),0)</f>
        <v>0</v>
      </c>
      <c r="U100" s="71">
        <f t="shared" si="16"/>
        <v>0</v>
      </c>
      <c r="V100" s="71">
        <f t="shared" si="17"/>
        <v>0</v>
      </c>
      <c r="W100" s="71">
        <f t="shared" si="18"/>
        <v>0</v>
      </c>
      <c r="X100" s="71">
        <f t="shared" si="19"/>
        <v>0</v>
      </c>
      <c r="Y100" s="71">
        <f t="shared" si="20"/>
        <v>0</v>
      </c>
      <c r="Z100" s="71">
        <f>IF(kontonr&gt;2399,IF(kontonr&lt;2500,$N100),0)+IF(kontonr&gt;(Kontoplan!$P$4-1),IF(kontonr&lt;(Kontoplan!$P$4+600),$N100,0),0)</f>
        <v>0</v>
      </c>
      <c r="AA100" s="71">
        <f t="shared" si="21"/>
        <v>0</v>
      </c>
      <c r="AB100" s="71">
        <f t="shared" si="22"/>
        <v>0</v>
      </c>
      <c r="AC100" s="71">
        <f t="shared" si="23"/>
        <v>0</v>
      </c>
      <c r="AD100" s="71">
        <f t="shared" si="24"/>
        <v>0</v>
      </c>
      <c r="AE100" s="71">
        <f t="shared" si="25"/>
        <v>0</v>
      </c>
      <c r="AF100" s="306">
        <f t="shared" si="26"/>
        <v>0</v>
      </c>
      <c r="AG100" s="74">
        <f t="shared" si="27"/>
        <v>0</v>
      </c>
      <c r="AH100" s="71">
        <f t="shared" si="28"/>
        <v>0</v>
      </c>
      <c r="AI100" s="71">
        <f t="shared" si="29"/>
        <v>0</v>
      </c>
      <c r="AJ100" s="71">
        <f t="shared" si="56"/>
        <v>0</v>
      </c>
      <c r="AK100" s="71">
        <f t="shared" si="31"/>
        <v>0</v>
      </c>
      <c r="AL100" s="71">
        <f t="shared" si="32"/>
        <v>0</v>
      </c>
      <c r="AM100" s="71">
        <f t="shared" si="57"/>
        <v>0</v>
      </c>
      <c r="AN100" s="71">
        <f t="shared" si="58"/>
        <v>0</v>
      </c>
      <c r="AO100" s="71">
        <f t="shared" si="35"/>
        <v>0</v>
      </c>
      <c r="AP100" s="71">
        <f t="shared" si="36"/>
        <v>0</v>
      </c>
      <c r="AQ100" s="71">
        <f t="shared" si="37"/>
        <v>0</v>
      </c>
      <c r="AR100" s="71">
        <f t="shared" si="38"/>
        <v>0</v>
      </c>
      <c r="AS100" s="71">
        <f t="shared" si="39"/>
        <v>0</v>
      </c>
      <c r="AT100" s="71">
        <f t="shared" si="40"/>
        <v>0</v>
      </c>
      <c r="AU100" s="306">
        <f t="shared" si="41"/>
        <v>0</v>
      </c>
      <c r="AV100" s="71">
        <f t="shared" si="42"/>
        <v>0</v>
      </c>
      <c r="AW100" s="71">
        <f t="shared" si="43"/>
        <v>0</v>
      </c>
      <c r="AX100" s="71">
        <f t="shared" si="44"/>
        <v>0</v>
      </c>
      <c r="AY100" s="113">
        <f t="shared" si="59"/>
        <v>0</v>
      </c>
      <c r="AZ100" s="113">
        <f t="shared" si="71"/>
        <v>0</v>
      </c>
      <c r="BA100" s="113">
        <f t="shared" si="75"/>
        <v>0</v>
      </c>
      <c r="BB100" s="113">
        <f t="shared" si="75"/>
        <v>0</v>
      </c>
      <c r="BC100" s="113">
        <f t="shared" si="75"/>
        <v>0</v>
      </c>
      <c r="BD100" s="113">
        <f t="shared" si="75"/>
        <v>0</v>
      </c>
      <c r="BE100" s="113">
        <f t="shared" si="75"/>
        <v>0</v>
      </c>
      <c r="BF100" s="113">
        <f t="shared" si="75"/>
        <v>0</v>
      </c>
      <c r="BG100" s="113">
        <f t="shared" si="75"/>
        <v>0</v>
      </c>
      <c r="BH100" s="113">
        <f t="shared" si="75"/>
        <v>0</v>
      </c>
      <c r="BI100" s="113">
        <f t="shared" si="75"/>
        <v>0</v>
      </c>
      <c r="BJ100" s="113">
        <f t="shared" si="75"/>
        <v>0</v>
      </c>
      <c r="BK100" s="113">
        <f t="shared" si="75"/>
        <v>0</v>
      </c>
      <c r="BL100" s="113">
        <f t="shared" si="75"/>
        <v>0</v>
      </c>
      <c r="BM100" s="113">
        <f t="shared" si="75"/>
        <v>0</v>
      </c>
      <c r="BN100" s="113">
        <f t="shared" si="75"/>
        <v>0</v>
      </c>
      <c r="BO100" s="113">
        <f t="shared" si="75"/>
        <v>0</v>
      </c>
      <c r="BP100" s="113">
        <f t="shared" si="75"/>
        <v>0</v>
      </c>
      <c r="BQ100" s="113">
        <f t="shared" si="54"/>
        <v>0</v>
      </c>
      <c r="BR100" s="113">
        <f t="shared" si="54"/>
        <v>0</v>
      </c>
      <c r="BS100" s="113">
        <f t="shared" si="47"/>
        <v>0</v>
      </c>
      <c r="BT100" s="113">
        <f t="shared" si="48"/>
        <v>0</v>
      </c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/>
      <c r="CI100" s="108">
        <f t="shared" si="49"/>
      </c>
      <c r="CJ100" s="113"/>
      <c r="CK100" s="113"/>
      <c r="CL100" s="113"/>
      <c r="CM100" s="113"/>
    </row>
    <row r="101" spans="1:91" s="112" customFormat="1" ht="15" customHeight="1">
      <c r="A101" s="103"/>
      <c r="B101" s="104"/>
      <c r="C101" s="115"/>
      <c r="D101" s="106"/>
      <c r="E101" s="107">
        <f t="shared" si="60"/>
      </c>
      <c r="F101" s="108">
        <f t="shared" si="8"/>
      </c>
      <c r="G101" s="109"/>
      <c r="H101" s="110"/>
      <c r="I101" s="486">
        <f t="shared" si="61"/>
        <v>0</v>
      </c>
      <c r="J101" s="486">
        <f t="shared" si="3"/>
        <v>0</v>
      </c>
      <c r="K101" s="486">
        <f t="shared" si="4"/>
        <v>0</v>
      </c>
      <c r="L101" s="111">
        <f t="shared" si="10"/>
        <v>0</v>
      </c>
      <c r="M101" s="176">
        <f t="shared" si="55"/>
        <v>0</v>
      </c>
      <c r="N101" s="177">
        <f t="shared" si="70"/>
        <v>0</v>
      </c>
      <c r="P101" s="306">
        <f t="shared" si="12"/>
        <v>0</v>
      </c>
      <c r="Q101" s="71">
        <f t="shared" si="13"/>
        <v>0</v>
      </c>
      <c r="R101" s="71">
        <f t="shared" si="14"/>
        <v>0</v>
      </c>
      <c r="S101" s="71">
        <f t="shared" si="15"/>
        <v>0</v>
      </c>
      <c r="T101" s="71">
        <f>IF(kontonr&gt;1499,IF(kontonr&lt;1560,$N101),0)+IF(kontonr&gt;(Kontoplan!P$3-1),IF(kontonr&lt;(Kontoplan!P$3+300),$N101,0),0)</f>
        <v>0</v>
      </c>
      <c r="U101" s="71">
        <f t="shared" si="16"/>
        <v>0</v>
      </c>
      <c r="V101" s="71">
        <f t="shared" si="17"/>
        <v>0</v>
      </c>
      <c r="W101" s="71">
        <f t="shared" si="18"/>
        <v>0</v>
      </c>
      <c r="X101" s="71">
        <f t="shared" si="19"/>
        <v>0</v>
      </c>
      <c r="Y101" s="71">
        <f t="shared" si="20"/>
        <v>0</v>
      </c>
      <c r="Z101" s="71">
        <f>IF(kontonr&gt;2399,IF(kontonr&lt;2500,$N101),0)+IF(kontonr&gt;(Kontoplan!$P$4-1),IF(kontonr&lt;(Kontoplan!$P$4+600),$N101,0),0)</f>
        <v>0</v>
      </c>
      <c r="AA101" s="71">
        <f t="shared" si="21"/>
        <v>0</v>
      </c>
      <c r="AB101" s="71">
        <f t="shared" si="22"/>
        <v>0</v>
      </c>
      <c r="AC101" s="71">
        <f t="shared" si="23"/>
        <v>0</v>
      </c>
      <c r="AD101" s="71">
        <f t="shared" si="24"/>
        <v>0</v>
      </c>
      <c r="AE101" s="71">
        <f t="shared" si="25"/>
        <v>0</v>
      </c>
      <c r="AF101" s="306">
        <f t="shared" si="26"/>
        <v>0</v>
      </c>
      <c r="AG101" s="74">
        <f t="shared" si="27"/>
        <v>0</v>
      </c>
      <c r="AH101" s="71">
        <f t="shared" si="28"/>
        <v>0</v>
      </c>
      <c r="AI101" s="71">
        <f t="shared" si="29"/>
        <v>0</v>
      </c>
      <c r="AJ101" s="71">
        <f t="shared" si="56"/>
        <v>0</v>
      </c>
      <c r="AK101" s="71">
        <f t="shared" si="31"/>
        <v>0</v>
      </c>
      <c r="AL101" s="71">
        <f t="shared" si="32"/>
        <v>0</v>
      </c>
      <c r="AM101" s="71">
        <f t="shared" si="57"/>
        <v>0</v>
      </c>
      <c r="AN101" s="71">
        <f t="shared" si="58"/>
        <v>0</v>
      </c>
      <c r="AO101" s="71">
        <f t="shared" si="35"/>
        <v>0</v>
      </c>
      <c r="AP101" s="71">
        <f t="shared" si="36"/>
        <v>0</v>
      </c>
      <c r="AQ101" s="71">
        <f t="shared" si="37"/>
        <v>0</v>
      </c>
      <c r="AR101" s="71">
        <f t="shared" si="38"/>
        <v>0</v>
      </c>
      <c r="AS101" s="71">
        <f t="shared" si="39"/>
        <v>0</v>
      </c>
      <c r="AT101" s="71">
        <f t="shared" si="40"/>
        <v>0</v>
      </c>
      <c r="AU101" s="306">
        <f t="shared" si="41"/>
        <v>0</v>
      </c>
      <c r="AV101" s="71">
        <f t="shared" si="42"/>
        <v>0</v>
      </c>
      <c r="AW101" s="71">
        <f t="shared" si="43"/>
        <v>0</v>
      </c>
      <c r="AX101" s="71">
        <f t="shared" si="44"/>
        <v>0</v>
      </c>
      <c r="AY101" s="113">
        <f t="shared" si="59"/>
        <v>0</v>
      </c>
      <c r="AZ101" s="113">
        <f t="shared" si="71"/>
        <v>0</v>
      </c>
      <c r="BA101" s="113">
        <f aca="true" t="shared" si="76" ref="BA101:BP108">IF(kontonr=BA$5,$N101,0)</f>
        <v>0</v>
      </c>
      <c r="BB101" s="113">
        <f t="shared" si="76"/>
        <v>0</v>
      </c>
      <c r="BC101" s="113">
        <f t="shared" si="76"/>
        <v>0</v>
      </c>
      <c r="BD101" s="113">
        <f t="shared" si="76"/>
        <v>0</v>
      </c>
      <c r="BE101" s="113">
        <f t="shared" si="76"/>
        <v>0</v>
      </c>
      <c r="BF101" s="113">
        <f t="shared" si="76"/>
        <v>0</v>
      </c>
      <c r="BG101" s="113">
        <f t="shared" si="76"/>
        <v>0</v>
      </c>
      <c r="BH101" s="113">
        <f t="shared" si="76"/>
        <v>0</v>
      </c>
      <c r="BI101" s="113">
        <f t="shared" si="76"/>
        <v>0</v>
      </c>
      <c r="BJ101" s="113">
        <f t="shared" si="76"/>
        <v>0</v>
      </c>
      <c r="BK101" s="113">
        <f t="shared" si="76"/>
        <v>0</v>
      </c>
      <c r="BL101" s="113">
        <f t="shared" si="76"/>
        <v>0</v>
      </c>
      <c r="BM101" s="113">
        <f t="shared" si="76"/>
        <v>0</v>
      </c>
      <c r="BN101" s="113">
        <f t="shared" si="76"/>
        <v>0</v>
      </c>
      <c r="BO101" s="113">
        <f t="shared" si="76"/>
        <v>0</v>
      </c>
      <c r="BP101" s="113">
        <f t="shared" si="76"/>
        <v>0</v>
      </c>
      <c r="BQ101" s="113">
        <f t="shared" si="54"/>
        <v>0</v>
      </c>
      <c r="BR101" s="113">
        <f t="shared" si="54"/>
        <v>0</v>
      </c>
      <c r="BS101" s="113">
        <f t="shared" si="47"/>
        <v>0</v>
      </c>
      <c r="BT101" s="113">
        <f t="shared" si="48"/>
        <v>0</v>
      </c>
      <c r="BU101" s="113"/>
      <c r="BV101" s="113"/>
      <c r="BW101" s="113"/>
      <c r="BX101" s="113"/>
      <c r="BY101" s="113"/>
      <c r="BZ101" s="113"/>
      <c r="CA101" s="113"/>
      <c r="CB101" s="113"/>
      <c r="CC101" s="113"/>
      <c r="CD101" s="113"/>
      <c r="CE101" s="113"/>
      <c r="CF101" s="113"/>
      <c r="CG101" s="113"/>
      <c r="CH101" s="113"/>
      <c r="CI101" s="108">
        <f t="shared" si="49"/>
      </c>
      <c r="CJ101" s="113"/>
      <c r="CK101" s="113"/>
      <c r="CL101" s="113"/>
      <c r="CM101" s="113"/>
    </row>
    <row r="102" spans="1:91" s="112" customFormat="1" ht="15" customHeight="1">
      <c r="A102" s="103"/>
      <c r="B102" s="104"/>
      <c r="C102" s="115"/>
      <c r="D102" s="106"/>
      <c r="E102" s="107">
        <f t="shared" si="60"/>
      </c>
      <c r="F102" s="108">
        <f t="shared" si="8"/>
      </c>
      <c r="G102" s="109"/>
      <c r="H102" s="110"/>
      <c r="I102" s="486">
        <f t="shared" si="61"/>
        <v>0</v>
      </c>
      <c r="J102" s="486">
        <f aca="true" t="shared" si="77" ref="J102:J137">IF(tekst="åpningsbalanse",0,IF(tekst="råbalanse",0,IF(tekst="balanse",0,IF(tekst="inngående balanse",0,IF(tekst="saldobalanse",0,IF(tekst="årsoppgjør",0,IF(mvakode=2,(+debet-kredit)/(1+mva)*mva,IF(mvakode=3,(+debet-kredit)/(1+mva)*mva,0))))))))</f>
        <v>0</v>
      </c>
      <c r="K102" s="486">
        <f aca="true" t="shared" si="78" ref="K102:K137">IF(tekst="åpningsbalanse",0,IF(tekst="råbalanse",0,IF(tekst="balanse",0,IF(tekst="inngående balanse",0,IF(tekst="saldobalanse",0,IF(tekst="årsoppgjør",0,IF(mvakode=1,(+debet-kredit)/(1+mva)*mva,0)))))))</f>
        <v>0</v>
      </c>
      <c r="L102" s="111">
        <f t="shared" si="10"/>
        <v>0</v>
      </c>
      <c r="M102" s="176">
        <f t="shared" si="55"/>
        <v>0</v>
      </c>
      <c r="N102" s="177">
        <f aca="true" t="shared" si="79" ref="N102:N137">IF(kontonr&lt;3000,nettobeløp,0)+SUM(K102:L102)+IF(kontonr&gt;=10000,nettobeløp,0)</f>
        <v>0</v>
      </c>
      <c r="P102" s="306">
        <f t="shared" si="12"/>
        <v>0</v>
      </c>
      <c r="Q102" s="71">
        <f t="shared" si="13"/>
        <v>0</v>
      </c>
      <c r="R102" s="71">
        <f t="shared" si="14"/>
        <v>0</v>
      </c>
      <c r="S102" s="71">
        <f t="shared" si="15"/>
        <v>0</v>
      </c>
      <c r="T102" s="71">
        <f>IF(kontonr&gt;1499,IF(kontonr&lt;1560,$N102),0)+IF(kontonr&gt;(Kontoplan!P$3-1),IF(kontonr&lt;(Kontoplan!P$3+300),$N102,0),0)</f>
        <v>0</v>
      </c>
      <c r="U102" s="71">
        <f t="shared" si="16"/>
        <v>0</v>
      </c>
      <c r="V102" s="71">
        <f t="shared" si="17"/>
        <v>0</v>
      </c>
      <c r="W102" s="71">
        <f t="shared" si="18"/>
        <v>0</v>
      </c>
      <c r="X102" s="71">
        <f t="shared" si="19"/>
        <v>0</v>
      </c>
      <c r="Y102" s="71">
        <f t="shared" si="20"/>
        <v>0</v>
      </c>
      <c r="Z102" s="71">
        <f>IF(kontonr&gt;2399,IF(kontonr&lt;2500,$N102),0)+IF(kontonr&gt;(Kontoplan!$P$4-1),IF(kontonr&lt;(Kontoplan!$P$4+600),$N102,0),0)</f>
        <v>0</v>
      </c>
      <c r="AA102" s="71">
        <f t="shared" si="21"/>
        <v>0</v>
      </c>
      <c r="AB102" s="71">
        <f t="shared" si="22"/>
        <v>0</v>
      </c>
      <c r="AC102" s="71">
        <f t="shared" si="23"/>
        <v>0</v>
      </c>
      <c r="AD102" s="71">
        <f t="shared" si="24"/>
        <v>0</v>
      </c>
      <c r="AE102" s="71">
        <f t="shared" si="25"/>
        <v>0</v>
      </c>
      <c r="AF102" s="306">
        <f t="shared" si="26"/>
        <v>0</v>
      </c>
      <c r="AG102" s="74">
        <f t="shared" si="27"/>
        <v>0</v>
      </c>
      <c r="AH102" s="71">
        <f t="shared" si="28"/>
        <v>0</v>
      </c>
      <c r="AI102" s="71">
        <f t="shared" si="29"/>
        <v>0</v>
      </c>
      <c r="AJ102" s="71">
        <f t="shared" si="56"/>
        <v>0</v>
      </c>
      <c r="AK102" s="71">
        <f t="shared" si="31"/>
        <v>0</v>
      </c>
      <c r="AL102" s="71">
        <f t="shared" si="32"/>
        <v>0</v>
      </c>
      <c r="AM102" s="71">
        <f t="shared" si="57"/>
        <v>0</v>
      </c>
      <c r="AN102" s="71">
        <f t="shared" si="58"/>
        <v>0</v>
      </c>
      <c r="AO102" s="71">
        <f t="shared" si="35"/>
        <v>0</v>
      </c>
      <c r="AP102" s="71">
        <f t="shared" si="36"/>
        <v>0</v>
      </c>
      <c r="AQ102" s="71">
        <f t="shared" si="37"/>
        <v>0</v>
      </c>
      <c r="AR102" s="71">
        <f t="shared" si="38"/>
        <v>0</v>
      </c>
      <c r="AS102" s="71">
        <f t="shared" si="39"/>
        <v>0</v>
      </c>
      <c r="AT102" s="71">
        <f t="shared" si="40"/>
        <v>0</v>
      </c>
      <c r="AU102" s="306">
        <f t="shared" si="41"/>
        <v>0</v>
      </c>
      <c r="AV102" s="71">
        <f t="shared" si="42"/>
        <v>0</v>
      </c>
      <c r="AW102" s="71">
        <f t="shared" si="43"/>
        <v>0</v>
      </c>
      <c r="AX102" s="71">
        <f t="shared" si="44"/>
        <v>0</v>
      </c>
      <c r="AY102" s="113">
        <f t="shared" si="59"/>
        <v>0</v>
      </c>
      <c r="AZ102" s="113">
        <f t="shared" si="71"/>
        <v>0</v>
      </c>
      <c r="BA102" s="113">
        <f t="shared" si="76"/>
        <v>0</v>
      </c>
      <c r="BB102" s="113">
        <f t="shared" si="76"/>
        <v>0</v>
      </c>
      <c r="BC102" s="113">
        <f t="shared" si="76"/>
        <v>0</v>
      </c>
      <c r="BD102" s="113">
        <f t="shared" si="76"/>
        <v>0</v>
      </c>
      <c r="BE102" s="113">
        <f t="shared" si="76"/>
        <v>0</v>
      </c>
      <c r="BF102" s="113">
        <f t="shared" si="76"/>
        <v>0</v>
      </c>
      <c r="BG102" s="113">
        <f t="shared" si="76"/>
        <v>0</v>
      </c>
      <c r="BH102" s="113">
        <f t="shared" si="76"/>
        <v>0</v>
      </c>
      <c r="BI102" s="113">
        <f t="shared" si="76"/>
        <v>0</v>
      </c>
      <c r="BJ102" s="113">
        <f t="shared" si="76"/>
        <v>0</v>
      </c>
      <c r="BK102" s="113">
        <f t="shared" si="76"/>
        <v>0</v>
      </c>
      <c r="BL102" s="113">
        <f t="shared" si="76"/>
        <v>0</v>
      </c>
      <c r="BM102" s="113">
        <f t="shared" si="76"/>
        <v>0</v>
      </c>
      <c r="BN102" s="113">
        <f t="shared" si="76"/>
        <v>0</v>
      </c>
      <c r="BO102" s="113">
        <f t="shared" si="76"/>
        <v>0</v>
      </c>
      <c r="BP102" s="113">
        <f t="shared" si="76"/>
        <v>0</v>
      </c>
      <c r="BQ102" s="113">
        <f t="shared" si="54"/>
        <v>0</v>
      </c>
      <c r="BR102" s="113">
        <f t="shared" si="54"/>
        <v>0</v>
      </c>
      <c r="BS102" s="113">
        <f t="shared" si="47"/>
        <v>0</v>
      </c>
      <c r="BT102" s="113">
        <f t="shared" si="48"/>
        <v>0</v>
      </c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08">
        <f t="shared" si="49"/>
      </c>
      <c r="CJ102" s="113"/>
      <c r="CK102" s="113"/>
      <c r="CL102" s="113"/>
      <c r="CM102" s="113"/>
    </row>
    <row r="103" spans="1:91" s="112" customFormat="1" ht="15" customHeight="1">
      <c r="A103" s="103"/>
      <c r="B103" s="104"/>
      <c r="C103" s="115"/>
      <c r="D103" s="106"/>
      <c r="E103" s="107">
        <f t="shared" si="60"/>
      </c>
      <c r="F103" s="108">
        <f t="shared" si="8"/>
      </c>
      <c r="G103" s="109"/>
      <c r="H103" s="110"/>
      <c r="I103" s="486">
        <f t="shared" si="61"/>
        <v>0</v>
      </c>
      <c r="J103" s="486">
        <f t="shared" si="77"/>
        <v>0</v>
      </c>
      <c r="K103" s="486">
        <f t="shared" si="78"/>
        <v>0</v>
      </c>
      <c r="L103" s="111">
        <f t="shared" si="10"/>
        <v>0</v>
      </c>
      <c r="M103" s="176">
        <f t="shared" si="55"/>
        <v>0</v>
      </c>
      <c r="N103" s="177">
        <f t="shared" si="79"/>
        <v>0</v>
      </c>
      <c r="P103" s="306">
        <f t="shared" si="12"/>
        <v>0</v>
      </c>
      <c r="Q103" s="71">
        <f t="shared" si="13"/>
        <v>0</v>
      </c>
      <c r="R103" s="71">
        <f t="shared" si="14"/>
        <v>0</v>
      </c>
      <c r="S103" s="71">
        <f t="shared" si="15"/>
        <v>0</v>
      </c>
      <c r="T103" s="71">
        <f>IF(kontonr&gt;1499,IF(kontonr&lt;1560,$N103),0)+IF(kontonr&gt;(Kontoplan!P$3-1),IF(kontonr&lt;(Kontoplan!P$3+300),$N103,0),0)</f>
        <v>0</v>
      </c>
      <c r="U103" s="71">
        <f t="shared" si="16"/>
        <v>0</v>
      </c>
      <c r="V103" s="71">
        <f t="shared" si="17"/>
        <v>0</v>
      </c>
      <c r="W103" s="71">
        <f t="shared" si="18"/>
        <v>0</v>
      </c>
      <c r="X103" s="71">
        <f t="shared" si="19"/>
        <v>0</v>
      </c>
      <c r="Y103" s="71">
        <f t="shared" si="20"/>
        <v>0</v>
      </c>
      <c r="Z103" s="71">
        <f>IF(kontonr&gt;2399,IF(kontonr&lt;2500,$N103),0)+IF(kontonr&gt;(Kontoplan!$P$4-1),IF(kontonr&lt;(Kontoplan!$P$4+600),$N103,0),0)</f>
        <v>0</v>
      </c>
      <c r="AA103" s="71">
        <f t="shared" si="21"/>
        <v>0</v>
      </c>
      <c r="AB103" s="71">
        <f t="shared" si="22"/>
        <v>0</v>
      </c>
      <c r="AC103" s="71">
        <f t="shared" si="23"/>
        <v>0</v>
      </c>
      <c r="AD103" s="71">
        <f t="shared" si="24"/>
        <v>0</v>
      </c>
      <c r="AE103" s="71">
        <f t="shared" si="25"/>
        <v>0</v>
      </c>
      <c r="AF103" s="306">
        <f t="shared" si="26"/>
        <v>0</v>
      </c>
      <c r="AG103" s="74">
        <f t="shared" si="27"/>
        <v>0</v>
      </c>
      <c r="AH103" s="71">
        <f t="shared" si="28"/>
        <v>0</v>
      </c>
      <c r="AI103" s="71">
        <f t="shared" si="29"/>
        <v>0</v>
      </c>
      <c r="AJ103" s="71">
        <f t="shared" si="56"/>
        <v>0</v>
      </c>
      <c r="AK103" s="71">
        <f t="shared" si="31"/>
        <v>0</v>
      </c>
      <c r="AL103" s="71">
        <f t="shared" si="32"/>
        <v>0</v>
      </c>
      <c r="AM103" s="71">
        <f t="shared" si="57"/>
        <v>0</v>
      </c>
      <c r="AN103" s="71">
        <f t="shared" si="58"/>
        <v>0</v>
      </c>
      <c r="AO103" s="71">
        <f t="shared" si="35"/>
        <v>0</v>
      </c>
      <c r="AP103" s="71">
        <f t="shared" si="36"/>
        <v>0</v>
      </c>
      <c r="AQ103" s="71">
        <f t="shared" si="37"/>
        <v>0</v>
      </c>
      <c r="AR103" s="71">
        <f t="shared" si="38"/>
        <v>0</v>
      </c>
      <c r="AS103" s="71">
        <f t="shared" si="39"/>
        <v>0</v>
      </c>
      <c r="AT103" s="71">
        <f t="shared" si="40"/>
        <v>0</v>
      </c>
      <c r="AU103" s="306">
        <f t="shared" si="41"/>
        <v>0</v>
      </c>
      <c r="AV103" s="71">
        <f t="shared" si="42"/>
        <v>0</v>
      </c>
      <c r="AW103" s="71">
        <f t="shared" si="43"/>
        <v>0</v>
      </c>
      <c r="AX103" s="71">
        <f t="shared" si="44"/>
        <v>0</v>
      </c>
      <c r="AY103" s="113">
        <f t="shared" si="59"/>
        <v>0</v>
      </c>
      <c r="AZ103" s="113">
        <f aca="true" t="shared" si="80" ref="AZ103:AZ126">IF(kontonr=AZ$5,$N103,0)</f>
        <v>0</v>
      </c>
      <c r="BA103" s="113">
        <f t="shared" si="76"/>
        <v>0</v>
      </c>
      <c r="BB103" s="113">
        <f t="shared" si="76"/>
        <v>0</v>
      </c>
      <c r="BC103" s="113">
        <f t="shared" si="76"/>
        <v>0</v>
      </c>
      <c r="BD103" s="113">
        <f t="shared" si="76"/>
        <v>0</v>
      </c>
      <c r="BE103" s="113">
        <f t="shared" si="76"/>
        <v>0</v>
      </c>
      <c r="BF103" s="113">
        <f t="shared" si="76"/>
        <v>0</v>
      </c>
      <c r="BG103" s="113">
        <f t="shared" si="76"/>
        <v>0</v>
      </c>
      <c r="BH103" s="113">
        <f t="shared" si="76"/>
        <v>0</v>
      </c>
      <c r="BI103" s="113">
        <f t="shared" si="76"/>
        <v>0</v>
      </c>
      <c r="BJ103" s="113">
        <f t="shared" si="76"/>
        <v>0</v>
      </c>
      <c r="BK103" s="113">
        <f t="shared" si="76"/>
        <v>0</v>
      </c>
      <c r="BL103" s="113">
        <f t="shared" si="76"/>
        <v>0</v>
      </c>
      <c r="BM103" s="113">
        <f t="shared" si="76"/>
        <v>0</v>
      </c>
      <c r="BN103" s="113">
        <f t="shared" si="76"/>
        <v>0</v>
      </c>
      <c r="BO103" s="113">
        <f t="shared" si="76"/>
        <v>0</v>
      </c>
      <c r="BP103" s="113">
        <f t="shared" si="76"/>
        <v>0</v>
      </c>
      <c r="BQ103" s="113">
        <f t="shared" si="54"/>
        <v>0</v>
      </c>
      <c r="BR103" s="113">
        <f t="shared" si="54"/>
        <v>0</v>
      </c>
      <c r="BS103" s="113">
        <f t="shared" si="47"/>
        <v>0</v>
      </c>
      <c r="BT103" s="113">
        <f t="shared" si="48"/>
        <v>0</v>
      </c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08">
        <f t="shared" si="49"/>
      </c>
      <c r="CJ103" s="113"/>
      <c r="CK103" s="113"/>
      <c r="CL103" s="113"/>
      <c r="CM103" s="113"/>
    </row>
    <row r="104" spans="1:91" s="112" customFormat="1" ht="15" customHeight="1">
      <c r="A104" s="103"/>
      <c r="B104" s="104"/>
      <c r="C104" s="115"/>
      <c r="D104" s="106"/>
      <c r="E104" s="107">
        <f t="shared" si="60"/>
      </c>
      <c r="F104" s="108">
        <f t="shared" si="8"/>
      </c>
      <c r="G104" s="109"/>
      <c r="H104" s="110"/>
      <c r="I104" s="486">
        <f t="shared" si="61"/>
        <v>0</v>
      </c>
      <c r="J104" s="486">
        <f t="shared" si="77"/>
        <v>0</v>
      </c>
      <c r="K104" s="486">
        <f t="shared" si="78"/>
        <v>0</v>
      </c>
      <c r="L104" s="111">
        <f t="shared" si="10"/>
        <v>0</v>
      </c>
      <c r="M104" s="176">
        <f t="shared" si="55"/>
        <v>0</v>
      </c>
      <c r="N104" s="177">
        <f t="shared" si="79"/>
        <v>0</v>
      </c>
      <c r="P104" s="306">
        <f t="shared" si="12"/>
        <v>0</v>
      </c>
      <c r="Q104" s="71">
        <f t="shared" si="13"/>
        <v>0</v>
      </c>
      <c r="R104" s="71">
        <f t="shared" si="14"/>
        <v>0</v>
      </c>
      <c r="S104" s="71">
        <f t="shared" si="15"/>
        <v>0</v>
      </c>
      <c r="T104" s="71">
        <f>IF(kontonr&gt;1499,IF(kontonr&lt;1560,$N104),0)+IF(kontonr&gt;(Kontoplan!P$3-1),IF(kontonr&lt;(Kontoplan!P$3+300),$N104,0),0)</f>
        <v>0</v>
      </c>
      <c r="U104" s="71">
        <f t="shared" si="16"/>
        <v>0</v>
      </c>
      <c r="V104" s="71">
        <f t="shared" si="17"/>
        <v>0</v>
      </c>
      <c r="W104" s="71">
        <f t="shared" si="18"/>
        <v>0</v>
      </c>
      <c r="X104" s="71">
        <f t="shared" si="19"/>
        <v>0</v>
      </c>
      <c r="Y104" s="71">
        <f t="shared" si="20"/>
        <v>0</v>
      </c>
      <c r="Z104" s="71">
        <f>IF(kontonr&gt;2399,IF(kontonr&lt;2500,$N104),0)+IF(kontonr&gt;(Kontoplan!$P$4-1),IF(kontonr&lt;(Kontoplan!$P$4+600),$N104,0),0)</f>
        <v>0</v>
      </c>
      <c r="AA104" s="71">
        <f t="shared" si="21"/>
        <v>0</v>
      </c>
      <c r="AB104" s="71">
        <f t="shared" si="22"/>
        <v>0</v>
      </c>
      <c r="AC104" s="71">
        <f t="shared" si="23"/>
        <v>0</v>
      </c>
      <c r="AD104" s="71">
        <f t="shared" si="24"/>
        <v>0</v>
      </c>
      <c r="AE104" s="71">
        <f t="shared" si="25"/>
        <v>0</v>
      </c>
      <c r="AF104" s="306">
        <f t="shared" si="26"/>
        <v>0</v>
      </c>
      <c r="AG104" s="74">
        <f t="shared" si="27"/>
        <v>0</v>
      </c>
      <c r="AH104" s="71">
        <f t="shared" si="28"/>
        <v>0</v>
      </c>
      <c r="AI104" s="71">
        <f t="shared" si="29"/>
        <v>0</v>
      </c>
      <c r="AJ104" s="71">
        <f t="shared" si="56"/>
        <v>0</v>
      </c>
      <c r="AK104" s="71">
        <f t="shared" si="31"/>
        <v>0</v>
      </c>
      <c r="AL104" s="71">
        <f t="shared" si="32"/>
        <v>0</v>
      </c>
      <c r="AM104" s="71">
        <f t="shared" si="57"/>
        <v>0</v>
      </c>
      <c r="AN104" s="71">
        <f t="shared" si="58"/>
        <v>0</v>
      </c>
      <c r="AO104" s="71">
        <f t="shared" si="35"/>
        <v>0</v>
      </c>
      <c r="AP104" s="71">
        <f t="shared" si="36"/>
        <v>0</v>
      </c>
      <c r="AQ104" s="71">
        <f t="shared" si="37"/>
        <v>0</v>
      </c>
      <c r="AR104" s="71">
        <f t="shared" si="38"/>
        <v>0</v>
      </c>
      <c r="AS104" s="71">
        <f t="shared" si="39"/>
        <v>0</v>
      </c>
      <c r="AT104" s="71">
        <f t="shared" si="40"/>
        <v>0</v>
      </c>
      <c r="AU104" s="306">
        <f t="shared" si="41"/>
        <v>0</v>
      </c>
      <c r="AV104" s="71">
        <f t="shared" si="42"/>
        <v>0</v>
      </c>
      <c r="AW104" s="71">
        <f t="shared" si="43"/>
        <v>0</v>
      </c>
      <c r="AX104" s="71">
        <f t="shared" si="44"/>
        <v>0</v>
      </c>
      <c r="AY104" s="113">
        <f t="shared" si="59"/>
        <v>0</v>
      </c>
      <c r="AZ104" s="113">
        <f t="shared" si="80"/>
        <v>0</v>
      </c>
      <c r="BA104" s="113">
        <f t="shared" si="76"/>
        <v>0</v>
      </c>
      <c r="BB104" s="113">
        <f t="shared" si="76"/>
        <v>0</v>
      </c>
      <c r="BC104" s="113">
        <f t="shared" si="76"/>
        <v>0</v>
      </c>
      <c r="BD104" s="113">
        <f t="shared" si="76"/>
        <v>0</v>
      </c>
      <c r="BE104" s="113">
        <f t="shared" si="76"/>
        <v>0</v>
      </c>
      <c r="BF104" s="113">
        <f t="shared" si="76"/>
        <v>0</v>
      </c>
      <c r="BG104" s="113">
        <f t="shared" si="76"/>
        <v>0</v>
      </c>
      <c r="BH104" s="113">
        <f t="shared" si="76"/>
        <v>0</v>
      </c>
      <c r="BI104" s="113">
        <f t="shared" si="76"/>
        <v>0</v>
      </c>
      <c r="BJ104" s="113">
        <f t="shared" si="76"/>
        <v>0</v>
      </c>
      <c r="BK104" s="113">
        <f t="shared" si="76"/>
        <v>0</v>
      </c>
      <c r="BL104" s="113">
        <f t="shared" si="76"/>
        <v>0</v>
      </c>
      <c r="BM104" s="113">
        <f t="shared" si="76"/>
        <v>0</v>
      </c>
      <c r="BN104" s="113">
        <f t="shared" si="76"/>
        <v>0</v>
      </c>
      <c r="BO104" s="113">
        <f t="shared" si="76"/>
        <v>0</v>
      </c>
      <c r="BP104" s="113">
        <f t="shared" si="76"/>
        <v>0</v>
      </c>
      <c r="BQ104" s="113">
        <f t="shared" si="54"/>
        <v>0</v>
      </c>
      <c r="BR104" s="113">
        <f t="shared" si="54"/>
        <v>0</v>
      </c>
      <c r="BS104" s="113">
        <f t="shared" si="47"/>
        <v>0</v>
      </c>
      <c r="BT104" s="113">
        <f t="shared" si="48"/>
        <v>0</v>
      </c>
      <c r="BU104" s="113"/>
      <c r="BV104" s="113"/>
      <c r="BW104" s="113"/>
      <c r="BX104" s="113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08">
        <f t="shared" si="49"/>
      </c>
      <c r="CJ104" s="113"/>
      <c r="CK104" s="113"/>
      <c r="CL104" s="113"/>
      <c r="CM104" s="113"/>
    </row>
    <row r="105" spans="1:91" s="112" customFormat="1" ht="15" customHeight="1">
      <c r="A105" s="103"/>
      <c r="B105" s="104"/>
      <c r="C105" s="115"/>
      <c r="D105" s="106"/>
      <c r="E105" s="107">
        <f t="shared" si="60"/>
      </c>
      <c r="F105" s="108">
        <f t="shared" si="8"/>
      </c>
      <c r="G105" s="109"/>
      <c r="H105" s="110"/>
      <c r="I105" s="486">
        <f t="shared" si="61"/>
        <v>0</v>
      </c>
      <c r="J105" s="486">
        <f t="shared" si="77"/>
        <v>0</v>
      </c>
      <c r="K105" s="486">
        <f t="shared" si="78"/>
        <v>0</v>
      </c>
      <c r="L105" s="111">
        <f t="shared" si="10"/>
        <v>0</v>
      </c>
      <c r="M105" s="176">
        <f t="shared" si="55"/>
        <v>0</v>
      </c>
      <c r="N105" s="177">
        <f t="shared" si="79"/>
        <v>0</v>
      </c>
      <c r="P105" s="306">
        <f t="shared" si="12"/>
        <v>0</v>
      </c>
      <c r="Q105" s="71">
        <f t="shared" si="13"/>
        <v>0</v>
      </c>
      <c r="R105" s="71">
        <f t="shared" si="14"/>
        <v>0</v>
      </c>
      <c r="S105" s="71">
        <f t="shared" si="15"/>
        <v>0</v>
      </c>
      <c r="T105" s="71">
        <f>IF(kontonr&gt;1499,IF(kontonr&lt;1560,$N105),0)+IF(kontonr&gt;(Kontoplan!P$3-1),IF(kontonr&lt;(Kontoplan!P$3+300),$N105,0),0)</f>
        <v>0</v>
      </c>
      <c r="U105" s="71">
        <f t="shared" si="16"/>
        <v>0</v>
      </c>
      <c r="V105" s="71">
        <f t="shared" si="17"/>
        <v>0</v>
      </c>
      <c r="W105" s="71">
        <f t="shared" si="18"/>
        <v>0</v>
      </c>
      <c r="X105" s="71">
        <f t="shared" si="19"/>
        <v>0</v>
      </c>
      <c r="Y105" s="71">
        <f t="shared" si="20"/>
        <v>0</v>
      </c>
      <c r="Z105" s="71">
        <f>IF(kontonr&gt;2399,IF(kontonr&lt;2500,$N105),0)+IF(kontonr&gt;(Kontoplan!$P$4-1),IF(kontonr&lt;(Kontoplan!$P$4+600),$N105,0),0)</f>
        <v>0</v>
      </c>
      <c r="AA105" s="71">
        <f t="shared" si="21"/>
        <v>0</v>
      </c>
      <c r="AB105" s="71">
        <f t="shared" si="22"/>
        <v>0</v>
      </c>
      <c r="AC105" s="71">
        <f t="shared" si="23"/>
        <v>0</v>
      </c>
      <c r="AD105" s="71">
        <f t="shared" si="24"/>
        <v>0</v>
      </c>
      <c r="AE105" s="71">
        <f t="shared" si="25"/>
        <v>0</v>
      </c>
      <c r="AF105" s="306">
        <f t="shared" si="26"/>
        <v>0</v>
      </c>
      <c r="AG105" s="74">
        <f t="shared" si="27"/>
        <v>0</v>
      </c>
      <c r="AH105" s="71">
        <f t="shared" si="28"/>
        <v>0</v>
      </c>
      <c r="AI105" s="71">
        <f t="shared" si="29"/>
        <v>0</v>
      </c>
      <c r="AJ105" s="71">
        <f t="shared" si="56"/>
        <v>0</v>
      </c>
      <c r="AK105" s="71">
        <f t="shared" si="31"/>
        <v>0</v>
      </c>
      <c r="AL105" s="71">
        <f t="shared" si="32"/>
        <v>0</v>
      </c>
      <c r="AM105" s="71">
        <f t="shared" si="57"/>
        <v>0</v>
      </c>
      <c r="AN105" s="71">
        <f t="shared" si="58"/>
        <v>0</v>
      </c>
      <c r="AO105" s="71">
        <f t="shared" si="35"/>
        <v>0</v>
      </c>
      <c r="AP105" s="71">
        <f t="shared" si="36"/>
        <v>0</v>
      </c>
      <c r="AQ105" s="71">
        <f t="shared" si="37"/>
        <v>0</v>
      </c>
      <c r="AR105" s="71">
        <f t="shared" si="38"/>
        <v>0</v>
      </c>
      <c r="AS105" s="71">
        <f t="shared" si="39"/>
        <v>0</v>
      </c>
      <c r="AT105" s="71">
        <f t="shared" si="40"/>
        <v>0</v>
      </c>
      <c r="AU105" s="306">
        <f t="shared" si="41"/>
        <v>0</v>
      </c>
      <c r="AV105" s="71">
        <f t="shared" si="42"/>
        <v>0</v>
      </c>
      <c r="AW105" s="71">
        <f t="shared" si="43"/>
        <v>0</v>
      </c>
      <c r="AX105" s="71">
        <f t="shared" si="44"/>
        <v>0</v>
      </c>
      <c r="AY105" s="113">
        <f t="shared" si="59"/>
        <v>0</v>
      </c>
      <c r="AZ105" s="113">
        <f t="shared" si="80"/>
        <v>0</v>
      </c>
      <c r="BA105" s="113">
        <f t="shared" si="76"/>
        <v>0</v>
      </c>
      <c r="BB105" s="113">
        <f t="shared" si="76"/>
        <v>0</v>
      </c>
      <c r="BC105" s="113">
        <f t="shared" si="76"/>
        <v>0</v>
      </c>
      <c r="BD105" s="113">
        <f t="shared" si="76"/>
        <v>0</v>
      </c>
      <c r="BE105" s="113">
        <f t="shared" si="76"/>
        <v>0</v>
      </c>
      <c r="BF105" s="113">
        <f t="shared" si="76"/>
        <v>0</v>
      </c>
      <c r="BG105" s="113">
        <f t="shared" si="76"/>
        <v>0</v>
      </c>
      <c r="BH105" s="113">
        <f t="shared" si="76"/>
        <v>0</v>
      </c>
      <c r="BI105" s="113">
        <f t="shared" si="76"/>
        <v>0</v>
      </c>
      <c r="BJ105" s="113">
        <f t="shared" si="76"/>
        <v>0</v>
      </c>
      <c r="BK105" s="113">
        <f t="shared" si="76"/>
        <v>0</v>
      </c>
      <c r="BL105" s="113">
        <f t="shared" si="76"/>
        <v>0</v>
      </c>
      <c r="BM105" s="113">
        <f t="shared" si="76"/>
        <v>0</v>
      </c>
      <c r="BN105" s="113">
        <f t="shared" si="76"/>
        <v>0</v>
      </c>
      <c r="BO105" s="113">
        <f t="shared" si="76"/>
        <v>0</v>
      </c>
      <c r="BP105" s="113">
        <f t="shared" si="76"/>
        <v>0</v>
      </c>
      <c r="BQ105" s="113">
        <f t="shared" si="54"/>
        <v>0</v>
      </c>
      <c r="BR105" s="113">
        <f t="shared" si="54"/>
        <v>0</v>
      </c>
      <c r="BS105" s="113">
        <f t="shared" si="47"/>
        <v>0</v>
      </c>
      <c r="BT105" s="113">
        <f t="shared" si="48"/>
        <v>0</v>
      </c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08">
        <f t="shared" si="49"/>
      </c>
      <c r="CJ105" s="113"/>
      <c r="CK105" s="113"/>
      <c r="CL105" s="113"/>
      <c r="CM105" s="113"/>
    </row>
    <row r="106" spans="1:91" s="112" customFormat="1" ht="15">
      <c r="A106" s="103"/>
      <c r="B106" s="104"/>
      <c r="C106" s="115"/>
      <c r="D106" s="106"/>
      <c r="E106" s="107">
        <f t="shared" si="60"/>
      </c>
      <c r="F106" s="108">
        <f t="shared" si="8"/>
      </c>
      <c r="G106" s="109"/>
      <c r="H106" s="110"/>
      <c r="I106" s="486">
        <f t="shared" si="61"/>
        <v>0</v>
      </c>
      <c r="J106" s="486">
        <f t="shared" si="77"/>
        <v>0</v>
      </c>
      <c r="K106" s="486">
        <f t="shared" si="78"/>
        <v>0</v>
      </c>
      <c r="L106" s="111">
        <f t="shared" si="10"/>
        <v>0</v>
      </c>
      <c r="M106" s="176">
        <f t="shared" si="55"/>
        <v>0</v>
      </c>
      <c r="N106" s="177">
        <f t="shared" si="79"/>
        <v>0</v>
      </c>
      <c r="P106" s="306">
        <f t="shared" si="12"/>
        <v>0</v>
      </c>
      <c r="Q106" s="71">
        <f t="shared" si="13"/>
        <v>0</v>
      </c>
      <c r="R106" s="71">
        <f t="shared" si="14"/>
        <v>0</v>
      </c>
      <c r="S106" s="71">
        <f t="shared" si="15"/>
        <v>0</v>
      </c>
      <c r="T106" s="71">
        <f>IF(kontonr&gt;1499,IF(kontonr&lt;1560,$N106),0)+IF(kontonr&gt;(Kontoplan!P$3-1),IF(kontonr&lt;(Kontoplan!P$3+300),$N106,0),0)</f>
        <v>0</v>
      </c>
      <c r="U106" s="71">
        <f t="shared" si="16"/>
        <v>0</v>
      </c>
      <c r="V106" s="71">
        <f t="shared" si="17"/>
        <v>0</v>
      </c>
      <c r="W106" s="71">
        <f t="shared" si="18"/>
        <v>0</v>
      </c>
      <c r="X106" s="71">
        <f t="shared" si="19"/>
        <v>0</v>
      </c>
      <c r="Y106" s="71">
        <f t="shared" si="20"/>
        <v>0</v>
      </c>
      <c r="Z106" s="71">
        <f>IF(kontonr&gt;2399,IF(kontonr&lt;2500,$N106),0)+IF(kontonr&gt;(Kontoplan!$P$4-1),IF(kontonr&lt;(Kontoplan!$P$4+600),$N106,0),0)</f>
        <v>0</v>
      </c>
      <c r="AA106" s="71">
        <f t="shared" si="21"/>
        <v>0</v>
      </c>
      <c r="AB106" s="71">
        <f t="shared" si="22"/>
        <v>0</v>
      </c>
      <c r="AC106" s="71">
        <f t="shared" si="23"/>
        <v>0</v>
      </c>
      <c r="AD106" s="71">
        <f t="shared" si="24"/>
        <v>0</v>
      </c>
      <c r="AE106" s="71">
        <f t="shared" si="25"/>
        <v>0</v>
      </c>
      <c r="AF106" s="306">
        <f t="shared" si="26"/>
        <v>0</v>
      </c>
      <c r="AG106" s="74">
        <f t="shared" si="27"/>
        <v>0</v>
      </c>
      <c r="AH106" s="71">
        <f t="shared" si="28"/>
        <v>0</v>
      </c>
      <c r="AI106" s="71">
        <f t="shared" si="29"/>
        <v>0</v>
      </c>
      <c r="AJ106" s="71">
        <f t="shared" si="56"/>
        <v>0</v>
      </c>
      <c r="AK106" s="71">
        <f t="shared" si="31"/>
        <v>0</v>
      </c>
      <c r="AL106" s="71">
        <f t="shared" si="32"/>
        <v>0</v>
      </c>
      <c r="AM106" s="71">
        <f t="shared" si="57"/>
        <v>0</v>
      </c>
      <c r="AN106" s="71">
        <f t="shared" si="58"/>
        <v>0</v>
      </c>
      <c r="AO106" s="71">
        <f t="shared" si="35"/>
        <v>0</v>
      </c>
      <c r="AP106" s="71">
        <f t="shared" si="36"/>
        <v>0</v>
      </c>
      <c r="AQ106" s="71">
        <f t="shared" si="37"/>
        <v>0</v>
      </c>
      <c r="AR106" s="71">
        <f t="shared" si="38"/>
        <v>0</v>
      </c>
      <c r="AS106" s="71">
        <f t="shared" si="39"/>
        <v>0</v>
      </c>
      <c r="AT106" s="71">
        <f t="shared" si="40"/>
        <v>0</v>
      </c>
      <c r="AU106" s="306">
        <f t="shared" si="41"/>
        <v>0</v>
      </c>
      <c r="AV106" s="71">
        <f t="shared" si="42"/>
        <v>0</v>
      </c>
      <c r="AW106" s="71">
        <f t="shared" si="43"/>
        <v>0</v>
      </c>
      <c r="AX106" s="71">
        <f t="shared" si="44"/>
        <v>0</v>
      </c>
      <c r="AY106" s="113">
        <f t="shared" si="59"/>
        <v>0</v>
      </c>
      <c r="AZ106" s="113">
        <f t="shared" si="80"/>
        <v>0</v>
      </c>
      <c r="BA106" s="113">
        <f t="shared" si="76"/>
        <v>0</v>
      </c>
      <c r="BB106" s="113">
        <f t="shared" si="76"/>
        <v>0</v>
      </c>
      <c r="BC106" s="113">
        <f t="shared" si="76"/>
        <v>0</v>
      </c>
      <c r="BD106" s="113">
        <f t="shared" si="76"/>
        <v>0</v>
      </c>
      <c r="BE106" s="113">
        <f t="shared" si="76"/>
        <v>0</v>
      </c>
      <c r="BF106" s="113">
        <f t="shared" si="76"/>
        <v>0</v>
      </c>
      <c r="BG106" s="113">
        <f t="shared" si="76"/>
        <v>0</v>
      </c>
      <c r="BH106" s="113">
        <f t="shared" si="76"/>
        <v>0</v>
      </c>
      <c r="BI106" s="113">
        <f t="shared" si="76"/>
        <v>0</v>
      </c>
      <c r="BJ106" s="113">
        <f t="shared" si="76"/>
        <v>0</v>
      </c>
      <c r="BK106" s="113">
        <f t="shared" si="76"/>
        <v>0</v>
      </c>
      <c r="BL106" s="113">
        <f t="shared" si="76"/>
        <v>0</v>
      </c>
      <c r="BM106" s="113">
        <f t="shared" si="76"/>
        <v>0</v>
      </c>
      <c r="BN106" s="113">
        <f t="shared" si="76"/>
        <v>0</v>
      </c>
      <c r="BO106" s="113">
        <f t="shared" si="76"/>
        <v>0</v>
      </c>
      <c r="BP106" s="113">
        <f t="shared" si="76"/>
        <v>0</v>
      </c>
      <c r="BQ106" s="113">
        <f t="shared" si="54"/>
        <v>0</v>
      </c>
      <c r="BR106" s="113">
        <f t="shared" si="54"/>
        <v>0</v>
      </c>
      <c r="BS106" s="113">
        <f t="shared" si="47"/>
        <v>0</v>
      </c>
      <c r="BT106" s="113">
        <f t="shared" si="48"/>
        <v>0</v>
      </c>
      <c r="BU106" s="113"/>
      <c r="BV106" s="113"/>
      <c r="BW106" s="113"/>
      <c r="BX106" s="113"/>
      <c r="BY106" s="113"/>
      <c r="BZ106" s="113"/>
      <c r="CA106" s="113"/>
      <c r="CB106" s="113"/>
      <c r="CC106" s="113"/>
      <c r="CD106" s="113"/>
      <c r="CE106" s="113"/>
      <c r="CF106" s="113"/>
      <c r="CG106" s="113"/>
      <c r="CH106" s="113"/>
      <c r="CI106" s="108">
        <f t="shared" si="49"/>
      </c>
      <c r="CJ106" s="113"/>
      <c r="CK106" s="113"/>
      <c r="CL106" s="113"/>
      <c r="CM106" s="113"/>
    </row>
    <row r="107" spans="1:91" s="112" customFormat="1" ht="15">
      <c r="A107" s="103"/>
      <c r="B107" s="104"/>
      <c r="C107" s="115"/>
      <c r="D107" s="106"/>
      <c r="E107" s="107">
        <f t="shared" si="60"/>
      </c>
      <c r="F107" s="108">
        <f t="shared" si="8"/>
      </c>
      <c r="G107" s="109"/>
      <c r="H107" s="110"/>
      <c r="I107" s="486">
        <f t="shared" si="61"/>
        <v>0</v>
      </c>
      <c r="J107" s="486">
        <f t="shared" si="77"/>
        <v>0</v>
      </c>
      <c r="K107" s="486">
        <f t="shared" si="78"/>
        <v>0</v>
      </c>
      <c r="L107" s="111">
        <f t="shared" si="10"/>
        <v>0</v>
      </c>
      <c r="M107" s="176">
        <f t="shared" si="55"/>
        <v>0</v>
      </c>
      <c r="N107" s="177">
        <f t="shared" si="79"/>
        <v>0</v>
      </c>
      <c r="P107" s="306">
        <f t="shared" si="12"/>
        <v>0</v>
      </c>
      <c r="Q107" s="71">
        <f t="shared" si="13"/>
        <v>0</v>
      </c>
      <c r="R107" s="71">
        <f t="shared" si="14"/>
        <v>0</v>
      </c>
      <c r="S107" s="71">
        <f t="shared" si="15"/>
        <v>0</v>
      </c>
      <c r="T107" s="71">
        <f>IF(kontonr&gt;1499,IF(kontonr&lt;1560,$N107),0)+IF(kontonr&gt;(Kontoplan!P$3-1),IF(kontonr&lt;(Kontoplan!P$3+300),$N107,0),0)</f>
        <v>0</v>
      </c>
      <c r="U107" s="71">
        <f t="shared" si="16"/>
        <v>0</v>
      </c>
      <c r="V107" s="71">
        <f t="shared" si="17"/>
        <v>0</v>
      </c>
      <c r="W107" s="71">
        <f t="shared" si="18"/>
        <v>0</v>
      </c>
      <c r="X107" s="71">
        <f t="shared" si="19"/>
        <v>0</v>
      </c>
      <c r="Y107" s="71">
        <f t="shared" si="20"/>
        <v>0</v>
      </c>
      <c r="Z107" s="71">
        <f>IF(kontonr&gt;2399,IF(kontonr&lt;2500,$N107),0)+IF(kontonr&gt;(Kontoplan!$P$4-1),IF(kontonr&lt;(Kontoplan!$P$4+600),$N107,0),0)</f>
        <v>0</v>
      </c>
      <c r="AA107" s="71">
        <f t="shared" si="21"/>
        <v>0</v>
      </c>
      <c r="AB107" s="71">
        <f t="shared" si="22"/>
        <v>0</v>
      </c>
      <c r="AC107" s="71">
        <f t="shared" si="23"/>
        <v>0</v>
      </c>
      <c r="AD107" s="71">
        <f t="shared" si="24"/>
        <v>0</v>
      </c>
      <c r="AE107" s="71">
        <f t="shared" si="25"/>
        <v>0</v>
      </c>
      <c r="AF107" s="306">
        <f t="shared" si="26"/>
        <v>0</v>
      </c>
      <c r="AG107" s="74">
        <f t="shared" si="27"/>
        <v>0</v>
      </c>
      <c r="AH107" s="71">
        <f t="shared" si="28"/>
        <v>0</v>
      </c>
      <c r="AI107" s="71">
        <f t="shared" si="29"/>
        <v>0</v>
      </c>
      <c r="AJ107" s="71">
        <f t="shared" si="56"/>
        <v>0</v>
      </c>
      <c r="AK107" s="71">
        <f t="shared" si="31"/>
        <v>0</v>
      </c>
      <c r="AL107" s="71">
        <f t="shared" si="32"/>
        <v>0</v>
      </c>
      <c r="AM107" s="71">
        <f t="shared" si="57"/>
        <v>0</v>
      </c>
      <c r="AN107" s="71">
        <f t="shared" si="58"/>
        <v>0</v>
      </c>
      <c r="AO107" s="71">
        <f t="shared" si="35"/>
        <v>0</v>
      </c>
      <c r="AP107" s="71">
        <f t="shared" si="36"/>
        <v>0</v>
      </c>
      <c r="AQ107" s="71">
        <f t="shared" si="37"/>
        <v>0</v>
      </c>
      <c r="AR107" s="71">
        <f t="shared" si="38"/>
        <v>0</v>
      </c>
      <c r="AS107" s="71">
        <f t="shared" si="39"/>
        <v>0</v>
      </c>
      <c r="AT107" s="71">
        <f t="shared" si="40"/>
        <v>0</v>
      </c>
      <c r="AU107" s="306">
        <f t="shared" si="41"/>
        <v>0</v>
      </c>
      <c r="AV107" s="71">
        <f t="shared" si="42"/>
        <v>0</v>
      </c>
      <c r="AW107" s="71">
        <f t="shared" si="43"/>
        <v>0</v>
      </c>
      <c r="AX107" s="71">
        <f t="shared" si="44"/>
        <v>0</v>
      </c>
      <c r="AY107" s="113">
        <f t="shared" si="59"/>
        <v>0</v>
      </c>
      <c r="AZ107" s="113">
        <f t="shared" si="80"/>
        <v>0</v>
      </c>
      <c r="BA107" s="113">
        <f t="shared" si="76"/>
        <v>0</v>
      </c>
      <c r="BB107" s="113">
        <f t="shared" si="76"/>
        <v>0</v>
      </c>
      <c r="BC107" s="113">
        <f t="shared" si="76"/>
        <v>0</v>
      </c>
      <c r="BD107" s="113">
        <f t="shared" si="76"/>
        <v>0</v>
      </c>
      <c r="BE107" s="113">
        <f t="shared" si="76"/>
        <v>0</v>
      </c>
      <c r="BF107" s="113">
        <f t="shared" si="76"/>
        <v>0</v>
      </c>
      <c r="BG107" s="113">
        <f t="shared" si="76"/>
        <v>0</v>
      </c>
      <c r="BH107" s="113">
        <f t="shared" si="76"/>
        <v>0</v>
      </c>
      <c r="BI107" s="113">
        <f t="shared" si="76"/>
        <v>0</v>
      </c>
      <c r="BJ107" s="113">
        <f t="shared" si="76"/>
        <v>0</v>
      </c>
      <c r="BK107" s="113">
        <f t="shared" si="76"/>
        <v>0</v>
      </c>
      <c r="BL107" s="113">
        <f t="shared" si="76"/>
        <v>0</v>
      </c>
      <c r="BM107" s="113">
        <f t="shared" si="76"/>
        <v>0</v>
      </c>
      <c r="BN107" s="113">
        <f t="shared" si="76"/>
        <v>0</v>
      </c>
      <c r="BO107" s="113">
        <f t="shared" si="76"/>
        <v>0</v>
      </c>
      <c r="BP107" s="113">
        <f t="shared" si="76"/>
        <v>0</v>
      </c>
      <c r="BQ107" s="113">
        <f t="shared" si="54"/>
        <v>0</v>
      </c>
      <c r="BR107" s="113">
        <f t="shared" si="54"/>
        <v>0</v>
      </c>
      <c r="BS107" s="113">
        <f t="shared" si="47"/>
        <v>0</v>
      </c>
      <c r="BT107" s="113">
        <f t="shared" si="48"/>
        <v>0</v>
      </c>
      <c r="BU107" s="113"/>
      <c r="BV107" s="113"/>
      <c r="BW107" s="113"/>
      <c r="BX107" s="113"/>
      <c r="BY107" s="113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08">
        <f t="shared" si="49"/>
      </c>
      <c r="CJ107" s="113"/>
      <c r="CK107" s="113"/>
      <c r="CL107" s="113"/>
      <c r="CM107" s="113"/>
    </row>
    <row r="108" spans="1:91" s="112" customFormat="1" ht="15">
      <c r="A108" s="103"/>
      <c r="B108" s="104"/>
      <c r="C108" s="115"/>
      <c r="D108" s="106"/>
      <c r="E108" s="107">
        <f t="shared" si="60"/>
      </c>
      <c r="F108" s="108">
        <f t="shared" si="8"/>
      </c>
      <c r="G108" s="109"/>
      <c r="H108" s="110"/>
      <c r="I108" s="486">
        <f t="shared" si="61"/>
        <v>0</v>
      </c>
      <c r="J108" s="486">
        <f t="shared" si="77"/>
        <v>0</v>
      </c>
      <c r="K108" s="486">
        <f t="shared" si="78"/>
        <v>0</v>
      </c>
      <c r="L108" s="111">
        <f t="shared" si="10"/>
        <v>0</v>
      </c>
      <c r="M108" s="176">
        <f t="shared" si="55"/>
        <v>0</v>
      </c>
      <c r="N108" s="177">
        <f t="shared" si="79"/>
        <v>0</v>
      </c>
      <c r="P108" s="306">
        <f t="shared" si="12"/>
        <v>0</v>
      </c>
      <c r="Q108" s="71">
        <f t="shared" si="13"/>
        <v>0</v>
      </c>
      <c r="R108" s="71">
        <f t="shared" si="14"/>
        <v>0</v>
      </c>
      <c r="S108" s="71">
        <f t="shared" si="15"/>
        <v>0</v>
      </c>
      <c r="T108" s="71">
        <f>IF(kontonr&gt;1499,IF(kontonr&lt;1560,$N108),0)+IF(kontonr&gt;(Kontoplan!P$3-1),IF(kontonr&lt;(Kontoplan!P$3+300),$N108,0),0)</f>
        <v>0</v>
      </c>
      <c r="U108" s="71">
        <f t="shared" si="16"/>
        <v>0</v>
      </c>
      <c r="V108" s="71">
        <f t="shared" si="17"/>
        <v>0</v>
      </c>
      <c r="W108" s="71">
        <f t="shared" si="18"/>
        <v>0</v>
      </c>
      <c r="X108" s="71">
        <f t="shared" si="19"/>
        <v>0</v>
      </c>
      <c r="Y108" s="71">
        <f t="shared" si="20"/>
        <v>0</v>
      </c>
      <c r="Z108" s="71">
        <f>IF(kontonr&gt;2399,IF(kontonr&lt;2500,$N108),0)+IF(kontonr&gt;(Kontoplan!$P$4-1),IF(kontonr&lt;(Kontoplan!$P$4+600),$N108,0),0)</f>
        <v>0</v>
      </c>
      <c r="AA108" s="71">
        <f t="shared" si="21"/>
        <v>0</v>
      </c>
      <c r="AB108" s="71">
        <f t="shared" si="22"/>
        <v>0</v>
      </c>
      <c r="AC108" s="71">
        <f t="shared" si="23"/>
        <v>0</v>
      </c>
      <c r="AD108" s="71">
        <f t="shared" si="24"/>
        <v>0</v>
      </c>
      <c r="AE108" s="71">
        <f t="shared" si="25"/>
        <v>0</v>
      </c>
      <c r="AF108" s="306">
        <f t="shared" si="26"/>
        <v>0</v>
      </c>
      <c r="AG108" s="74">
        <f t="shared" si="27"/>
        <v>0</v>
      </c>
      <c r="AH108" s="71">
        <f t="shared" si="28"/>
        <v>0</v>
      </c>
      <c r="AI108" s="71">
        <f t="shared" si="29"/>
        <v>0</v>
      </c>
      <c r="AJ108" s="71">
        <f t="shared" si="56"/>
        <v>0</v>
      </c>
      <c r="AK108" s="71">
        <f t="shared" si="31"/>
        <v>0</v>
      </c>
      <c r="AL108" s="71">
        <f t="shared" si="32"/>
        <v>0</v>
      </c>
      <c r="AM108" s="71">
        <f t="shared" si="57"/>
        <v>0</v>
      </c>
      <c r="AN108" s="71">
        <f t="shared" si="58"/>
        <v>0</v>
      </c>
      <c r="AO108" s="71">
        <f t="shared" si="35"/>
        <v>0</v>
      </c>
      <c r="AP108" s="71">
        <f t="shared" si="36"/>
        <v>0</v>
      </c>
      <c r="AQ108" s="71">
        <f t="shared" si="37"/>
        <v>0</v>
      </c>
      <c r="AR108" s="71">
        <f t="shared" si="38"/>
        <v>0</v>
      </c>
      <c r="AS108" s="71">
        <f t="shared" si="39"/>
        <v>0</v>
      </c>
      <c r="AT108" s="71">
        <f t="shared" si="40"/>
        <v>0</v>
      </c>
      <c r="AU108" s="306">
        <f t="shared" si="41"/>
        <v>0</v>
      </c>
      <c r="AV108" s="71">
        <f t="shared" si="42"/>
        <v>0</v>
      </c>
      <c r="AW108" s="71">
        <f t="shared" si="43"/>
        <v>0</v>
      </c>
      <c r="AX108" s="71">
        <f t="shared" si="44"/>
        <v>0</v>
      </c>
      <c r="AY108" s="113">
        <f t="shared" si="59"/>
        <v>0</v>
      </c>
      <c r="AZ108" s="113">
        <f t="shared" si="80"/>
        <v>0</v>
      </c>
      <c r="BA108" s="113">
        <f t="shared" si="76"/>
        <v>0</v>
      </c>
      <c r="BB108" s="113">
        <f t="shared" si="76"/>
        <v>0</v>
      </c>
      <c r="BC108" s="113">
        <f t="shared" si="76"/>
        <v>0</v>
      </c>
      <c r="BD108" s="113">
        <f t="shared" si="76"/>
        <v>0</v>
      </c>
      <c r="BE108" s="113">
        <f t="shared" si="76"/>
        <v>0</v>
      </c>
      <c r="BF108" s="113">
        <f t="shared" si="76"/>
        <v>0</v>
      </c>
      <c r="BG108" s="113">
        <f t="shared" si="76"/>
        <v>0</v>
      </c>
      <c r="BH108" s="113">
        <f t="shared" si="76"/>
        <v>0</v>
      </c>
      <c r="BI108" s="113">
        <f t="shared" si="76"/>
        <v>0</v>
      </c>
      <c r="BJ108" s="113">
        <f t="shared" si="76"/>
        <v>0</v>
      </c>
      <c r="BK108" s="113">
        <f t="shared" si="76"/>
        <v>0</v>
      </c>
      <c r="BL108" s="113">
        <f t="shared" si="76"/>
        <v>0</v>
      </c>
      <c r="BM108" s="113">
        <f t="shared" si="76"/>
        <v>0</v>
      </c>
      <c r="BN108" s="113">
        <f t="shared" si="76"/>
        <v>0</v>
      </c>
      <c r="BO108" s="113">
        <f t="shared" si="76"/>
        <v>0</v>
      </c>
      <c r="BP108" s="113">
        <f t="shared" si="76"/>
        <v>0</v>
      </c>
      <c r="BQ108" s="113">
        <f t="shared" si="54"/>
        <v>0</v>
      </c>
      <c r="BR108" s="113">
        <f t="shared" si="54"/>
        <v>0</v>
      </c>
      <c r="BS108" s="113">
        <f t="shared" si="47"/>
        <v>0</v>
      </c>
      <c r="BT108" s="113">
        <f t="shared" si="48"/>
        <v>0</v>
      </c>
      <c r="BU108" s="113"/>
      <c r="BV108" s="113"/>
      <c r="BW108" s="113"/>
      <c r="BX108" s="113"/>
      <c r="BY108" s="113"/>
      <c r="BZ108" s="113"/>
      <c r="CA108" s="113"/>
      <c r="CB108" s="113"/>
      <c r="CC108" s="113"/>
      <c r="CD108" s="113"/>
      <c r="CE108" s="113"/>
      <c r="CF108" s="113"/>
      <c r="CG108" s="113"/>
      <c r="CH108" s="113"/>
      <c r="CI108" s="108">
        <f t="shared" si="49"/>
      </c>
      <c r="CJ108" s="113"/>
      <c r="CK108" s="113"/>
      <c r="CL108" s="113"/>
      <c r="CM108" s="113"/>
    </row>
    <row r="109" spans="1:91" s="112" customFormat="1" ht="15">
      <c r="A109" s="103"/>
      <c r="B109" s="104"/>
      <c r="C109" s="115"/>
      <c r="D109" s="106"/>
      <c r="E109" s="107">
        <f t="shared" si="60"/>
      </c>
      <c r="F109" s="108">
        <f t="shared" si="8"/>
      </c>
      <c r="G109" s="109"/>
      <c r="H109" s="110"/>
      <c r="I109" s="486">
        <f t="shared" si="61"/>
        <v>0</v>
      </c>
      <c r="J109" s="486">
        <f t="shared" si="77"/>
        <v>0</v>
      </c>
      <c r="K109" s="486">
        <f t="shared" si="78"/>
        <v>0</v>
      </c>
      <c r="L109" s="111">
        <f t="shared" si="10"/>
        <v>0</v>
      </c>
      <c r="M109" s="176">
        <f t="shared" si="55"/>
        <v>0</v>
      </c>
      <c r="N109" s="177">
        <f t="shared" si="79"/>
        <v>0</v>
      </c>
      <c r="P109" s="306">
        <f t="shared" si="12"/>
        <v>0</v>
      </c>
      <c r="Q109" s="71">
        <f t="shared" si="13"/>
        <v>0</v>
      </c>
      <c r="R109" s="71">
        <f t="shared" si="14"/>
        <v>0</v>
      </c>
      <c r="S109" s="71">
        <f t="shared" si="15"/>
        <v>0</v>
      </c>
      <c r="T109" s="71">
        <f>IF(kontonr&gt;1499,IF(kontonr&lt;1560,$N109),0)+IF(kontonr&gt;(Kontoplan!P$3-1),IF(kontonr&lt;(Kontoplan!P$3+300),$N109,0),0)</f>
        <v>0</v>
      </c>
      <c r="U109" s="71">
        <f t="shared" si="16"/>
        <v>0</v>
      </c>
      <c r="V109" s="71">
        <f t="shared" si="17"/>
        <v>0</v>
      </c>
      <c r="W109" s="71">
        <f t="shared" si="18"/>
        <v>0</v>
      </c>
      <c r="X109" s="71">
        <f t="shared" si="19"/>
        <v>0</v>
      </c>
      <c r="Y109" s="71">
        <f t="shared" si="20"/>
        <v>0</v>
      </c>
      <c r="Z109" s="71">
        <f>IF(kontonr&gt;2399,IF(kontonr&lt;2500,$N109),0)+IF(kontonr&gt;(Kontoplan!$P$4-1),IF(kontonr&lt;(Kontoplan!$P$4+600),$N109,0),0)</f>
        <v>0</v>
      </c>
      <c r="AA109" s="71">
        <f t="shared" si="21"/>
        <v>0</v>
      </c>
      <c r="AB109" s="71">
        <f t="shared" si="22"/>
        <v>0</v>
      </c>
      <c r="AC109" s="71">
        <f t="shared" si="23"/>
        <v>0</v>
      </c>
      <c r="AD109" s="71">
        <f t="shared" si="24"/>
        <v>0</v>
      </c>
      <c r="AE109" s="71">
        <f t="shared" si="25"/>
        <v>0</v>
      </c>
      <c r="AF109" s="306">
        <f t="shared" si="26"/>
        <v>0</v>
      </c>
      <c r="AG109" s="74">
        <f t="shared" si="27"/>
        <v>0</v>
      </c>
      <c r="AH109" s="71">
        <f t="shared" si="28"/>
        <v>0</v>
      </c>
      <c r="AI109" s="71">
        <f t="shared" si="29"/>
        <v>0</v>
      </c>
      <c r="AJ109" s="71">
        <f t="shared" si="56"/>
        <v>0</v>
      </c>
      <c r="AK109" s="71">
        <f t="shared" si="31"/>
        <v>0</v>
      </c>
      <c r="AL109" s="71">
        <f t="shared" si="32"/>
        <v>0</v>
      </c>
      <c r="AM109" s="71">
        <f t="shared" si="57"/>
        <v>0</v>
      </c>
      <c r="AN109" s="71">
        <f t="shared" si="58"/>
        <v>0</v>
      </c>
      <c r="AO109" s="71">
        <f t="shared" si="35"/>
        <v>0</v>
      </c>
      <c r="AP109" s="71">
        <f t="shared" si="36"/>
        <v>0</v>
      </c>
      <c r="AQ109" s="71">
        <f t="shared" si="37"/>
        <v>0</v>
      </c>
      <c r="AR109" s="71">
        <f t="shared" si="38"/>
        <v>0</v>
      </c>
      <c r="AS109" s="71">
        <f t="shared" si="39"/>
        <v>0</v>
      </c>
      <c r="AT109" s="71">
        <f t="shared" si="40"/>
        <v>0</v>
      </c>
      <c r="AU109" s="306">
        <f t="shared" si="41"/>
        <v>0</v>
      </c>
      <c r="AV109" s="71">
        <f t="shared" si="42"/>
        <v>0</v>
      </c>
      <c r="AW109" s="71">
        <f t="shared" si="43"/>
        <v>0</v>
      </c>
      <c r="AX109" s="71">
        <f t="shared" si="44"/>
        <v>0</v>
      </c>
      <c r="AY109" s="113">
        <f t="shared" si="59"/>
        <v>0</v>
      </c>
      <c r="AZ109" s="113">
        <f t="shared" si="80"/>
        <v>0</v>
      </c>
      <c r="BA109" s="113">
        <f aca="true" t="shared" si="81" ref="BA109:BO109">IF(kontonr=BA$5,$N109,0)</f>
        <v>0</v>
      </c>
      <c r="BB109" s="113">
        <f t="shared" si="81"/>
        <v>0</v>
      </c>
      <c r="BC109" s="113">
        <f t="shared" si="81"/>
        <v>0</v>
      </c>
      <c r="BD109" s="113">
        <f t="shared" si="81"/>
        <v>0</v>
      </c>
      <c r="BE109" s="113">
        <f t="shared" si="81"/>
        <v>0</v>
      </c>
      <c r="BF109" s="113">
        <f t="shared" si="81"/>
        <v>0</v>
      </c>
      <c r="BG109" s="113">
        <f t="shared" si="81"/>
        <v>0</v>
      </c>
      <c r="BH109" s="113">
        <f t="shared" si="81"/>
        <v>0</v>
      </c>
      <c r="BI109" s="113">
        <f t="shared" si="81"/>
        <v>0</v>
      </c>
      <c r="BJ109" s="113">
        <f t="shared" si="81"/>
        <v>0</v>
      </c>
      <c r="BK109" s="113">
        <f t="shared" si="81"/>
        <v>0</v>
      </c>
      <c r="BL109" s="113">
        <f t="shared" si="81"/>
        <v>0</v>
      </c>
      <c r="BM109" s="113">
        <f t="shared" si="81"/>
        <v>0</v>
      </c>
      <c r="BN109" s="113">
        <f t="shared" si="81"/>
        <v>0</v>
      </c>
      <c r="BO109" s="113">
        <f t="shared" si="81"/>
        <v>0</v>
      </c>
      <c r="BP109" s="113">
        <f aca="true" t="shared" si="82" ref="BA109:BP124">IF(kontonr=BP$5,$N109,0)</f>
        <v>0</v>
      </c>
      <c r="BQ109" s="113">
        <f t="shared" si="54"/>
        <v>0</v>
      </c>
      <c r="BR109" s="113">
        <f t="shared" si="54"/>
        <v>0</v>
      </c>
      <c r="BS109" s="113">
        <f t="shared" si="47"/>
        <v>0</v>
      </c>
      <c r="BT109" s="113">
        <f t="shared" si="48"/>
        <v>0</v>
      </c>
      <c r="BU109" s="113"/>
      <c r="BV109" s="113"/>
      <c r="BW109" s="113"/>
      <c r="BX109" s="113"/>
      <c r="BY109" s="113"/>
      <c r="BZ109" s="113"/>
      <c r="CA109" s="113"/>
      <c r="CB109" s="113"/>
      <c r="CC109" s="113"/>
      <c r="CD109" s="113"/>
      <c r="CE109" s="113"/>
      <c r="CF109" s="113"/>
      <c r="CG109" s="113"/>
      <c r="CH109" s="113"/>
      <c r="CI109" s="108">
        <f t="shared" si="49"/>
      </c>
      <c r="CJ109" s="113"/>
      <c r="CK109" s="113"/>
      <c r="CL109" s="113"/>
      <c r="CM109" s="113"/>
    </row>
    <row r="110" spans="1:91" s="112" customFormat="1" ht="15">
      <c r="A110" s="103"/>
      <c r="B110" s="104"/>
      <c r="C110" s="115"/>
      <c r="D110" s="106"/>
      <c r="E110" s="107">
        <f t="shared" si="60"/>
      </c>
      <c r="F110" s="108">
        <f t="shared" si="8"/>
      </c>
      <c r="G110" s="109"/>
      <c r="H110" s="110"/>
      <c r="I110" s="486">
        <f t="shared" si="61"/>
        <v>0</v>
      </c>
      <c r="J110" s="486">
        <f t="shared" si="77"/>
        <v>0</v>
      </c>
      <c r="K110" s="486">
        <f t="shared" si="78"/>
        <v>0</v>
      </c>
      <c r="L110" s="111">
        <f t="shared" si="10"/>
        <v>0</v>
      </c>
      <c r="M110" s="176">
        <f t="shared" si="55"/>
        <v>0</v>
      </c>
      <c r="N110" s="177">
        <f t="shared" si="79"/>
        <v>0</v>
      </c>
      <c r="P110" s="306">
        <f t="shared" si="12"/>
        <v>0</v>
      </c>
      <c r="Q110" s="71">
        <f t="shared" si="13"/>
        <v>0</v>
      </c>
      <c r="R110" s="71">
        <f t="shared" si="14"/>
        <v>0</v>
      </c>
      <c r="S110" s="71">
        <f t="shared" si="15"/>
        <v>0</v>
      </c>
      <c r="T110" s="71">
        <f>IF(kontonr&gt;1499,IF(kontonr&lt;1560,$N110),0)+IF(kontonr&gt;(Kontoplan!P$3-1),IF(kontonr&lt;(Kontoplan!P$3+300),$N110,0),0)</f>
        <v>0</v>
      </c>
      <c r="U110" s="71">
        <f t="shared" si="16"/>
        <v>0</v>
      </c>
      <c r="V110" s="71">
        <f t="shared" si="17"/>
        <v>0</v>
      </c>
      <c r="W110" s="71">
        <f t="shared" si="18"/>
        <v>0</v>
      </c>
      <c r="X110" s="71">
        <f t="shared" si="19"/>
        <v>0</v>
      </c>
      <c r="Y110" s="71">
        <f t="shared" si="20"/>
        <v>0</v>
      </c>
      <c r="Z110" s="71">
        <f>IF(kontonr&gt;2399,IF(kontonr&lt;2500,$N110),0)+IF(kontonr&gt;(Kontoplan!$P$4-1),IF(kontonr&lt;(Kontoplan!$P$4+600),$N110,0),0)</f>
        <v>0</v>
      </c>
      <c r="AA110" s="71">
        <f t="shared" si="21"/>
        <v>0</v>
      </c>
      <c r="AB110" s="71">
        <f t="shared" si="22"/>
        <v>0</v>
      </c>
      <c r="AC110" s="71">
        <f t="shared" si="23"/>
        <v>0</v>
      </c>
      <c r="AD110" s="71">
        <f t="shared" si="24"/>
        <v>0</v>
      </c>
      <c r="AE110" s="71">
        <f t="shared" si="25"/>
        <v>0</v>
      </c>
      <c r="AF110" s="306">
        <f t="shared" si="26"/>
        <v>0</v>
      </c>
      <c r="AG110" s="74">
        <f t="shared" si="27"/>
        <v>0</v>
      </c>
      <c r="AH110" s="71">
        <f t="shared" si="28"/>
        <v>0</v>
      </c>
      <c r="AI110" s="71">
        <f t="shared" si="29"/>
        <v>0</v>
      </c>
      <c r="AJ110" s="71">
        <f t="shared" si="56"/>
        <v>0</v>
      </c>
      <c r="AK110" s="71">
        <f t="shared" si="31"/>
        <v>0</v>
      </c>
      <c r="AL110" s="71">
        <f t="shared" si="32"/>
        <v>0</v>
      </c>
      <c r="AM110" s="71">
        <f t="shared" si="57"/>
        <v>0</v>
      </c>
      <c r="AN110" s="71">
        <f t="shared" si="58"/>
        <v>0</v>
      </c>
      <c r="AO110" s="71">
        <f t="shared" si="35"/>
        <v>0</v>
      </c>
      <c r="AP110" s="71">
        <f t="shared" si="36"/>
        <v>0</v>
      </c>
      <c r="AQ110" s="71">
        <f t="shared" si="37"/>
        <v>0</v>
      </c>
      <c r="AR110" s="71">
        <f t="shared" si="38"/>
        <v>0</v>
      </c>
      <c r="AS110" s="71">
        <f t="shared" si="39"/>
        <v>0</v>
      </c>
      <c r="AT110" s="71">
        <f t="shared" si="40"/>
        <v>0</v>
      </c>
      <c r="AU110" s="306">
        <f t="shared" si="41"/>
        <v>0</v>
      </c>
      <c r="AV110" s="71">
        <f t="shared" si="42"/>
        <v>0</v>
      </c>
      <c r="AW110" s="71">
        <f t="shared" si="43"/>
        <v>0</v>
      </c>
      <c r="AX110" s="71">
        <f t="shared" si="44"/>
        <v>0</v>
      </c>
      <c r="AY110" s="113">
        <f t="shared" si="59"/>
        <v>0</v>
      </c>
      <c r="AZ110" s="113">
        <f t="shared" si="80"/>
        <v>0</v>
      </c>
      <c r="BA110" s="113">
        <f t="shared" si="82"/>
        <v>0</v>
      </c>
      <c r="BB110" s="113">
        <f t="shared" si="82"/>
        <v>0</v>
      </c>
      <c r="BC110" s="113">
        <f t="shared" si="82"/>
        <v>0</v>
      </c>
      <c r="BD110" s="113">
        <f t="shared" si="82"/>
        <v>0</v>
      </c>
      <c r="BE110" s="113">
        <f t="shared" si="82"/>
        <v>0</v>
      </c>
      <c r="BF110" s="113">
        <f t="shared" si="82"/>
        <v>0</v>
      </c>
      <c r="BG110" s="113">
        <f t="shared" si="82"/>
        <v>0</v>
      </c>
      <c r="BH110" s="113">
        <f t="shared" si="82"/>
        <v>0</v>
      </c>
      <c r="BI110" s="113">
        <f t="shared" si="82"/>
        <v>0</v>
      </c>
      <c r="BJ110" s="113">
        <f t="shared" si="82"/>
        <v>0</v>
      </c>
      <c r="BK110" s="113">
        <f t="shared" si="82"/>
        <v>0</v>
      </c>
      <c r="BL110" s="113">
        <f t="shared" si="82"/>
        <v>0</v>
      </c>
      <c r="BM110" s="113">
        <f t="shared" si="82"/>
        <v>0</v>
      </c>
      <c r="BN110" s="113">
        <f t="shared" si="82"/>
        <v>0</v>
      </c>
      <c r="BO110" s="113">
        <f t="shared" si="82"/>
        <v>0</v>
      </c>
      <c r="BP110" s="113">
        <f t="shared" si="82"/>
        <v>0</v>
      </c>
      <c r="BQ110" s="113">
        <f aca="true" t="shared" si="83" ref="BQ110:BR125">IF(kontonr=BQ$5,$N110,0)</f>
        <v>0</v>
      </c>
      <c r="BR110" s="113">
        <f t="shared" si="83"/>
        <v>0</v>
      </c>
      <c r="BS110" s="113">
        <f t="shared" si="47"/>
        <v>0</v>
      </c>
      <c r="BT110" s="113">
        <f t="shared" si="48"/>
        <v>0</v>
      </c>
      <c r="BU110" s="113"/>
      <c r="BV110" s="113"/>
      <c r="BW110" s="113"/>
      <c r="BX110" s="113"/>
      <c r="BY110" s="113"/>
      <c r="BZ110" s="113"/>
      <c r="CA110" s="113"/>
      <c r="CB110" s="113"/>
      <c r="CC110" s="113"/>
      <c r="CD110" s="113"/>
      <c r="CE110" s="113"/>
      <c r="CF110" s="113"/>
      <c r="CG110" s="113"/>
      <c r="CH110" s="113"/>
      <c r="CI110" s="108">
        <f t="shared" si="49"/>
      </c>
      <c r="CJ110" s="113"/>
      <c r="CK110" s="113"/>
      <c r="CL110" s="113"/>
      <c r="CM110" s="113"/>
    </row>
    <row r="111" spans="1:91" s="112" customFormat="1" ht="15">
      <c r="A111" s="103"/>
      <c r="B111" s="104"/>
      <c r="C111" s="115"/>
      <c r="D111" s="106"/>
      <c r="E111" s="107">
        <f t="shared" si="60"/>
      </c>
      <c r="F111" s="108">
        <f t="shared" si="8"/>
      </c>
      <c r="G111" s="109"/>
      <c r="H111" s="110"/>
      <c r="I111" s="486">
        <f t="shared" si="61"/>
        <v>0</v>
      </c>
      <c r="J111" s="486">
        <f t="shared" si="77"/>
        <v>0</v>
      </c>
      <c r="K111" s="486">
        <f t="shared" si="78"/>
        <v>0</v>
      </c>
      <c r="L111" s="111">
        <f t="shared" si="10"/>
        <v>0</v>
      </c>
      <c r="M111" s="176">
        <f aca="true" t="shared" si="84" ref="M111:M126">IF(kontonr&gt;=3000,IF(kontonr&lt;10000,-nettobeløp,0),0)</f>
        <v>0</v>
      </c>
      <c r="N111" s="177">
        <f t="shared" si="79"/>
        <v>0</v>
      </c>
      <c r="P111" s="306">
        <f t="shared" si="12"/>
        <v>0</v>
      </c>
      <c r="Q111" s="71">
        <f t="shared" si="13"/>
        <v>0</v>
      </c>
      <c r="R111" s="71">
        <f t="shared" si="14"/>
        <v>0</v>
      </c>
      <c r="S111" s="71">
        <f t="shared" si="15"/>
        <v>0</v>
      </c>
      <c r="T111" s="71">
        <f>IF(kontonr&gt;1499,IF(kontonr&lt;1560,$N111),0)+IF(kontonr&gt;(Kontoplan!P$3-1),IF(kontonr&lt;(Kontoplan!P$3+300),$N111,0),0)</f>
        <v>0</v>
      </c>
      <c r="U111" s="71">
        <f t="shared" si="16"/>
        <v>0</v>
      </c>
      <c r="V111" s="71">
        <f t="shared" si="17"/>
        <v>0</v>
      </c>
      <c r="W111" s="71">
        <f t="shared" si="18"/>
        <v>0</v>
      </c>
      <c r="X111" s="71">
        <f t="shared" si="19"/>
        <v>0</v>
      </c>
      <c r="Y111" s="71">
        <f t="shared" si="20"/>
        <v>0</v>
      </c>
      <c r="Z111" s="71">
        <f>IF(kontonr&gt;2399,IF(kontonr&lt;2500,$N111),0)+IF(kontonr&gt;(Kontoplan!$P$4-1),IF(kontonr&lt;(Kontoplan!$P$4+600),$N111,0),0)</f>
        <v>0</v>
      </c>
      <c r="AA111" s="71">
        <f t="shared" si="21"/>
        <v>0</v>
      </c>
      <c r="AB111" s="71">
        <f t="shared" si="22"/>
        <v>0</v>
      </c>
      <c r="AC111" s="71">
        <f t="shared" si="23"/>
        <v>0</v>
      </c>
      <c r="AD111" s="71">
        <f t="shared" si="24"/>
        <v>0</v>
      </c>
      <c r="AE111" s="71">
        <f t="shared" si="25"/>
        <v>0</v>
      </c>
      <c r="AF111" s="306">
        <f t="shared" si="26"/>
        <v>0</v>
      </c>
      <c r="AG111" s="74">
        <f t="shared" si="27"/>
        <v>0</v>
      </c>
      <c r="AH111" s="71">
        <f t="shared" si="28"/>
        <v>0</v>
      </c>
      <c r="AI111" s="71">
        <f t="shared" si="29"/>
        <v>0</v>
      </c>
      <c r="AJ111" s="71">
        <f aca="true" t="shared" si="85" ref="AJ111:AJ126">IF(kontonr&gt;4999,IF(kontonr&lt;6000,$M111,0),0)</f>
        <v>0</v>
      </c>
      <c r="AK111" s="71">
        <f t="shared" si="31"/>
        <v>0</v>
      </c>
      <c r="AL111" s="71">
        <f t="shared" si="32"/>
        <v>0</v>
      </c>
      <c r="AM111" s="71">
        <f aca="true" t="shared" si="86" ref="AM111:AM126">IF(kontonr&gt;7999,IF(kontonr&lt;8100,$M111,0),0)</f>
        <v>0</v>
      </c>
      <c r="AN111" s="71">
        <f aca="true" t="shared" si="87" ref="AN111:AN126">IF(kontonr&gt;8099,IF(kontonr&lt;8200,$M111,0),0)</f>
        <v>0</v>
      </c>
      <c r="AO111" s="71">
        <f t="shared" si="35"/>
        <v>0</v>
      </c>
      <c r="AP111" s="71">
        <f t="shared" si="36"/>
        <v>0</v>
      </c>
      <c r="AQ111" s="71">
        <f t="shared" si="37"/>
        <v>0</v>
      </c>
      <c r="AR111" s="71">
        <f t="shared" si="38"/>
        <v>0</v>
      </c>
      <c r="AS111" s="71">
        <f t="shared" si="39"/>
        <v>0</v>
      </c>
      <c r="AT111" s="71">
        <f t="shared" si="40"/>
        <v>0</v>
      </c>
      <c r="AU111" s="306">
        <f t="shared" si="41"/>
        <v>0</v>
      </c>
      <c r="AV111" s="71">
        <f t="shared" si="42"/>
        <v>0</v>
      </c>
      <c r="AW111" s="71">
        <f t="shared" si="43"/>
        <v>0</v>
      </c>
      <c r="AX111" s="71">
        <f t="shared" si="44"/>
        <v>0</v>
      </c>
      <c r="AY111" s="113">
        <f aca="true" t="shared" si="88" ref="AY111:AY126">IF(kontonr=AY$5,$N111,0)</f>
        <v>0</v>
      </c>
      <c r="AZ111" s="113">
        <f t="shared" si="80"/>
        <v>0</v>
      </c>
      <c r="BA111" s="113">
        <f t="shared" si="82"/>
        <v>0</v>
      </c>
      <c r="BB111" s="113">
        <f t="shared" si="82"/>
        <v>0</v>
      </c>
      <c r="BC111" s="113">
        <f t="shared" si="82"/>
        <v>0</v>
      </c>
      <c r="BD111" s="113">
        <f t="shared" si="82"/>
        <v>0</v>
      </c>
      <c r="BE111" s="113">
        <f t="shared" si="82"/>
        <v>0</v>
      </c>
      <c r="BF111" s="113">
        <f t="shared" si="82"/>
        <v>0</v>
      </c>
      <c r="BG111" s="113">
        <f t="shared" si="82"/>
        <v>0</v>
      </c>
      <c r="BH111" s="113">
        <f t="shared" si="82"/>
        <v>0</v>
      </c>
      <c r="BI111" s="113">
        <f t="shared" si="82"/>
        <v>0</v>
      </c>
      <c r="BJ111" s="113">
        <f t="shared" si="82"/>
        <v>0</v>
      </c>
      <c r="BK111" s="113">
        <f t="shared" si="82"/>
        <v>0</v>
      </c>
      <c r="BL111" s="113">
        <f t="shared" si="82"/>
        <v>0</v>
      </c>
      <c r="BM111" s="113">
        <f t="shared" si="82"/>
        <v>0</v>
      </c>
      <c r="BN111" s="113">
        <f t="shared" si="82"/>
        <v>0</v>
      </c>
      <c r="BO111" s="113">
        <f t="shared" si="82"/>
        <v>0</v>
      </c>
      <c r="BP111" s="113">
        <f t="shared" si="82"/>
        <v>0</v>
      </c>
      <c r="BQ111" s="113">
        <f t="shared" si="83"/>
        <v>0</v>
      </c>
      <c r="BR111" s="113">
        <f t="shared" si="83"/>
        <v>0</v>
      </c>
      <c r="BS111" s="113">
        <f t="shared" si="47"/>
        <v>0</v>
      </c>
      <c r="BT111" s="113">
        <f t="shared" si="48"/>
        <v>0</v>
      </c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08">
        <f t="shared" si="49"/>
      </c>
      <c r="CJ111" s="113"/>
      <c r="CK111" s="113"/>
      <c r="CL111" s="113"/>
      <c r="CM111" s="113"/>
    </row>
    <row r="112" spans="1:91" s="112" customFormat="1" ht="15">
      <c r="A112" s="103"/>
      <c r="B112" s="104"/>
      <c r="C112" s="115"/>
      <c r="D112" s="106"/>
      <c r="E112" s="107">
        <f t="shared" si="60"/>
      </c>
      <c r="F112" s="108">
        <f t="shared" si="8"/>
      </c>
      <c r="G112" s="109"/>
      <c r="H112" s="110"/>
      <c r="I112" s="486">
        <f t="shared" si="61"/>
        <v>0</v>
      </c>
      <c r="J112" s="486">
        <f t="shared" si="77"/>
        <v>0</v>
      </c>
      <c r="K112" s="486">
        <f t="shared" si="78"/>
        <v>0</v>
      </c>
      <c r="L112" s="111">
        <f t="shared" si="10"/>
        <v>0</v>
      </c>
      <c r="M112" s="176">
        <f t="shared" si="84"/>
        <v>0</v>
      </c>
      <c r="N112" s="177">
        <f t="shared" si="79"/>
        <v>0</v>
      </c>
      <c r="P112" s="306">
        <f t="shared" si="12"/>
        <v>0</v>
      </c>
      <c r="Q112" s="71">
        <f t="shared" si="13"/>
        <v>0</v>
      </c>
      <c r="R112" s="71">
        <f t="shared" si="14"/>
        <v>0</v>
      </c>
      <c r="S112" s="71">
        <f t="shared" si="15"/>
        <v>0</v>
      </c>
      <c r="T112" s="71">
        <f>IF(kontonr&gt;1499,IF(kontonr&lt;1560,$N112),0)+IF(kontonr&gt;(Kontoplan!P$3-1),IF(kontonr&lt;(Kontoplan!P$3+300),$N112,0),0)</f>
        <v>0</v>
      </c>
      <c r="U112" s="71">
        <f t="shared" si="16"/>
        <v>0</v>
      </c>
      <c r="V112" s="71">
        <f t="shared" si="17"/>
        <v>0</v>
      </c>
      <c r="W112" s="71">
        <f t="shared" si="18"/>
        <v>0</v>
      </c>
      <c r="X112" s="71">
        <f t="shared" si="19"/>
        <v>0</v>
      </c>
      <c r="Y112" s="71">
        <f t="shared" si="20"/>
        <v>0</v>
      </c>
      <c r="Z112" s="71">
        <f>IF(kontonr&gt;2399,IF(kontonr&lt;2500,$N112),0)+IF(kontonr&gt;(Kontoplan!$P$4-1),IF(kontonr&lt;(Kontoplan!$P$4+600),$N112,0),0)</f>
        <v>0</v>
      </c>
      <c r="AA112" s="71">
        <f t="shared" si="21"/>
        <v>0</v>
      </c>
      <c r="AB112" s="71">
        <f t="shared" si="22"/>
        <v>0</v>
      </c>
      <c r="AC112" s="71">
        <f t="shared" si="23"/>
        <v>0</v>
      </c>
      <c r="AD112" s="71">
        <f t="shared" si="24"/>
        <v>0</v>
      </c>
      <c r="AE112" s="71">
        <f t="shared" si="25"/>
        <v>0</v>
      </c>
      <c r="AF112" s="306">
        <f t="shared" si="26"/>
        <v>0</v>
      </c>
      <c r="AG112" s="74">
        <f t="shared" si="27"/>
        <v>0</v>
      </c>
      <c r="AH112" s="71">
        <f t="shared" si="28"/>
        <v>0</v>
      </c>
      <c r="AI112" s="71">
        <f t="shared" si="29"/>
        <v>0</v>
      </c>
      <c r="AJ112" s="71">
        <f t="shared" si="85"/>
        <v>0</v>
      </c>
      <c r="AK112" s="71">
        <f t="shared" si="31"/>
        <v>0</v>
      </c>
      <c r="AL112" s="71">
        <f t="shared" si="32"/>
        <v>0</v>
      </c>
      <c r="AM112" s="71">
        <f t="shared" si="86"/>
        <v>0</v>
      </c>
      <c r="AN112" s="71">
        <f t="shared" si="87"/>
        <v>0</v>
      </c>
      <c r="AO112" s="71">
        <f t="shared" si="35"/>
        <v>0</v>
      </c>
      <c r="AP112" s="71">
        <f t="shared" si="36"/>
        <v>0</v>
      </c>
      <c r="AQ112" s="71">
        <f t="shared" si="37"/>
        <v>0</v>
      </c>
      <c r="AR112" s="71">
        <f t="shared" si="38"/>
        <v>0</v>
      </c>
      <c r="AS112" s="71">
        <f t="shared" si="39"/>
        <v>0</v>
      </c>
      <c r="AT112" s="71">
        <f t="shared" si="40"/>
        <v>0</v>
      </c>
      <c r="AU112" s="306">
        <f t="shared" si="41"/>
        <v>0</v>
      </c>
      <c r="AV112" s="71">
        <f t="shared" si="42"/>
        <v>0</v>
      </c>
      <c r="AW112" s="71">
        <f t="shared" si="43"/>
        <v>0</v>
      </c>
      <c r="AX112" s="71">
        <f t="shared" si="44"/>
        <v>0</v>
      </c>
      <c r="AY112" s="113">
        <f t="shared" si="88"/>
        <v>0</v>
      </c>
      <c r="AZ112" s="113">
        <f t="shared" si="80"/>
        <v>0</v>
      </c>
      <c r="BA112" s="113">
        <f t="shared" si="82"/>
        <v>0</v>
      </c>
      <c r="BB112" s="113">
        <f t="shared" si="82"/>
        <v>0</v>
      </c>
      <c r="BC112" s="113">
        <f t="shared" si="82"/>
        <v>0</v>
      </c>
      <c r="BD112" s="113">
        <f t="shared" si="82"/>
        <v>0</v>
      </c>
      <c r="BE112" s="113">
        <f t="shared" si="82"/>
        <v>0</v>
      </c>
      <c r="BF112" s="113">
        <f t="shared" si="82"/>
        <v>0</v>
      </c>
      <c r="BG112" s="113">
        <f t="shared" si="82"/>
        <v>0</v>
      </c>
      <c r="BH112" s="113">
        <f t="shared" si="82"/>
        <v>0</v>
      </c>
      <c r="BI112" s="113">
        <f t="shared" si="82"/>
        <v>0</v>
      </c>
      <c r="BJ112" s="113">
        <f t="shared" si="82"/>
        <v>0</v>
      </c>
      <c r="BK112" s="113">
        <f t="shared" si="82"/>
        <v>0</v>
      </c>
      <c r="BL112" s="113">
        <f t="shared" si="82"/>
        <v>0</v>
      </c>
      <c r="BM112" s="113">
        <f t="shared" si="82"/>
        <v>0</v>
      </c>
      <c r="BN112" s="113">
        <f t="shared" si="82"/>
        <v>0</v>
      </c>
      <c r="BO112" s="113">
        <f t="shared" si="82"/>
        <v>0</v>
      </c>
      <c r="BP112" s="113">
        <f t="shared" si="82"/>
        <v>0</v>
      </c>
      <c r="BQ112" s="113">
        <f t="shared" si="83"/>
        <v>0</v>
      </c>
      <c r="BR112" s="113">
        <f t="shared" si="83"/>
        <v>0</v>
      </c>
      <c r="BS112" s="113">
        <f t="shared" si="47"/>
        <v>0</v>
      </c>
      <c r="BT112" s="113">
        <f t="shared" si="48"/>
        <v>0</v>
      </c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08">
        <f t="shared" si="49"/>
      </c>
      <c r="CJ112" s="113"/>
      <c r="CK112" s="113"/>
      <c r="CL112" s="113"/>
      <c r="CM112" s="113"/>
    </row>
    <row r="113" spans="1:91" s="112" customFormat="1" ht="15">
      <c r="A113" s="103"/>
      <c r="B113" s="104"/>
      <c r="C113" s="115"/>
      <c r="D113" s="106"/>
      <c r="E113" s="107">
        <f t="shared" si="60"/>
      </c>
      <c r="F113" s="108">
        <f t="shared" si="8"/>
      </c>
      <c r="G113" s="109"/>
      <c r="H113" s="110"/>
      <c r="I113" s="486">
        <f t="shared" si="61"/>
        <v>0</v>
      </c>
      <c r="J113" s="486">
        <f t="shared" si="77"/>
        <v>0</v>
      </c>
      <c r="K113" s="486">
        <f t="shared" si="78"/>
        <v>0</v>
      </c>
      <c r="L113" s="111">
        <f t="shared" si="10"/>
        <v>0</v>
      </c>
      <c r="M113" s="176">
        <f t="shared" si="84"/>
        <v>0</v>
      </c>
      <c r="N113" s="177">
        <f t="shared" si="79"/>
        <v>0</v>
      </c>
      <c r="P113" s="306">
        <f t="shared" si="12"/>
        <v>0</v>
      </c>
      <c r="Q113" s="71">
        <f t="shared" si="13"/>
        <v>0</v>
      </c>
      <c r="R113" s="71">
        <f t="shared" si="14"/>
        <v>0</v>
      </c>
      <c r="S113" s="71">
        <f t="shared" si="15"/>
        <v>0</v>
      </c>
      <c r="T113" s="71">
        <f>IF(kontonr&gt;1499,IF(kontonr&lt;1560,$N113),0)+IF(kontonr&gt;(Kontoplan!P$3-1),IF(kontonr&lt;(Kontoplan!P$3+300),$N113,0),0)</f>
        <v>0</v>
      </c>
      <c r="U113" s="71">
        <f t="shared" si="16"/>
        <v>0</v>
      </c>
      <c r="V113" s="71">
        <f t="shared" si="17"/>
        <v>0</v>
      </c>
      <c r="W113" s="71">
        <f t="shared" si="18"/>
        <v>0</v>
      </c>
      <c r="X113" s="71">
        <f t="shared" si="19"/>
        <v>0</v>
      </c>
      <c r="Y113" s="71">
        <f t="shared" si="20"/>
        <v>0</v>
      </c>
      <c r="Z113" s="71">
        <f>IF(kontonr&gt;2399,IF(kontonr&lt;2500,$N113),0)+IF(kontonr&gt;(Kontoplan!$P$4-1),IF(kontonr&lt;(Kontoplan!$P$4+600),$N113,0),0)</f>
        <v>0</v>
      </c>
      <c r="AA113" s="71">
        <f t="shared" si="21"/>
        <v>0</v>
      </c>
      <c r="AB113" s="71">
        <f t="shared" si="22"/>
        <v>0</v>
      </c>
      <c r="AC113" s="71">
        <f t="shared" si="23"/>
        <v>0</v>
      </c>
      <c r="AD113" s="71">
        <f t="shared" si="24"/>
        <v>0</v>
      </c>
      <c r="AE113" s="71">
        <f t="shared" si="25"/>
        <v>0</v>
      </c>
      <c r="AF113" s="306">
        <f t="shared" si="26"/>
        <v>0</v>
      </c>
      <c r="AG113" s="74">
        <f t="shared" si="27"/>
        <v>0</v>
      </c>
      <c r="AH113" s="71">
        <f t="shared" si="28"/>
        <v>0</v>
      </c>
      <c r="AI113" s="71">
        <f t="shared" si="29"/>
        <v>0</v>
      </c>
      <c r="AJ113" s="71">
        <f t="shared" si="85"/>
        <v>0</v>
      </c>
      <c r="AK113" s="71">
        <f t="shared" si="31"/>
        <v>0</v>
      </c>
      <c r="AL113" s="71">
        <f t="shared" si="32"/>
        <v>0</v>
      </c>
      <c r="AM113" s="71">
        <f t="shared" si="86"/>
        <v>0</v>
      </c>
      <c r="AN113" s="71">
        <f t="shared" si="87"/>
        <v>0</v>
      </c>
      <c r="AO113" s="71">
        <f t="shared" si="35"/>
        <v>0</v>
      </c>
      <c r="AP113" s="71">
        <f t="shared" si="36"/>
        <v>0</v>
      </c>
      <c r="AQ113" s="71">
        <f t="shared" si="37"/>
        <v>0</v>
      </c>
      <c r="AR113" s="71">
        <f t="shared" si="38"/>
        <v>0</v>
      </c>
      <c r="AS113" s="71">
        <f t="shared" si="39"/>
        <v>0</v>
      </c>
      <c r="AT113" s="71">
        <f t="shared" si="40"/>
        <v>0</v>
      </c>
      <c r="AU113" s="306">
        <f t="shared" si="41"/>
        <v>0</v>
      </c>
      <c r="AV113" s="71">
        <f t="shared" si="42"/>
        <v>0</v>
      </c>
      <c r="AW113" s="71">
        <f t="shared" si="43"/>
        <v>0</v>
      </c>
      <c r="AX113" s="71">
        <f t="shared" si="44"/>
        <v>0</v>
      </c>
      <c r="AY113" s="113">
        <f t="shared" si="88"/>
        <v>0</v>
      </c>
      <c r="AZ113" s="113">
        <f t="shared" si="80"/>
        <v>0</v>
      </c>
      <c r="BA113" s="113">
        <f t="shared" si="82"/>
        <v>0</v>
      </c>
      <c r="BB113" s="113">
        <f t="shared" si="82"/>
        <v>0</v>
      </c>
      <c r="BC113" s="113">
        <f t="shared" si="82"/>
        <v>0</v>
      </c>
      <c r="BD113" s="113">
        <f t="shared" si="82"/>
        <v>0</v>
      </c>
      <c r="BE113" s="113">
        <f t="shared" si="82"/>
        <v>0</v>
      </c>
      <c r="BF113" s="113">
        <f t="shared" si="82"/>
        <v>0</v>
      </c>
      <c r="BG113" s="113">
        <f t="shared" si="82"/>
        <v>0</v>
      </c>
      <c r="BH113" s="113">
        <f t="shared" si="82"/>
        <v>0</v>
      </c>
      <c r="BI113" s="113">
        <f t="shared" si="82"/>
        <v>0</v>
      </c>
      <c r="BJ113" s="113">
        <f t="shared" si="82"/>
        <v>0</v>
      </c>
      <c r="BK113" s="113">
        <f t="shared" si="82"/>
        <v>0</v>
      </c>
      <c r="BL113" s="113">
        <f t="shared" si="82"/>
        <v>0</v>
      </c>
      <c r="BM113" s="113">
        <f t="shared" si="82"/>
        <v>0</v>
      </c>
      <c r="BN113" s="113">
        <f t="shared" si="82"/>
        <v>0</v>
      </c>
      <c r="BO113" s="113">
        <f t="shared" si="82"/>
        <v>0</v>
      </c>
      <c r="BP113" s="113">
        <f t="shared" si="82"/>
        <v>0</v>
      </c>
      <c r="BQ113" s="113">
        <f t="shared" si="83"/>
        <v>0</v>
      </c>
      <c r="BR113" s="113">
        <f t="shared" si="83"/>
        <v>0</v>
      </c>
      <c r="BS113" s="113">
        <f t="shared" si="47"/>
        <v>0</v>
      </c>
      <c r="BT113" s="113">
        <f t="shared" si="48"/>
        <v>0</v>
      </c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08">
        <f t="shared" si="49"/>
      </c>
      <c r="CJ113" s="113"/>
      <c r="CK113" s="113"/>
      <c r="CL113" s="113"/>
      <c r="CM113" s="113"/>
    </row>
    <row r="114" spans="1:91" s="112" customFormat="1" ht="15">
      <c r="A114" s="103"/>
      <c r="B114" s="104"/>
      <c r="C114" s="115"/>
      <c r="D114" s="106"/>
      <c r="E114" s="107">
        <f t="shared" si="60"/>
      </c>
      <c r="F114" s="108">
        <f t="shared" si="8"/>
      </c>
      <c r="G114" s="109"/>
      <c r="H114" s="110"/>
      <c r="I114" s="486">
        <f t="shared" si="61"/>
        <v>0</v>
      </c>
      <c r="J114" s="486">
        <f t="shared" si="77"/>
        <v>0</v>
      </c>
      <c r="K114" s="486">
        <f t="shared" si="78"/>
        <v>0</v>
      </c>
      <c r="L114" s="111">
        <f t="shared" si="10"/>
        <v>0</v>
      </c>
      <c r="M114" s="176">
        <f t="shared" si="84"/>
        <v>0</v>
      </c>
      <c r="N114" s="177">
        <f t="shared" si="79"/>
        <v>0</v>
      </c>
      <c r="P114" s="306">
        <f t="shared" si="12"/>
        <v>0</v>
      </c>
      <c r="Q114" s="71">
        <f t="shared" si="13"/>
        <v>0</v>
      </c>
      <c r="R114" s="71">
        <f t="shared" si="14"/>
        <v>0</v>
      </c>
      <c r="S114" s="71">
        <f t="shared" si="15"/>
        <v>0</v>
      </c>
      <c r="T114" s="71">
        <f>IF(kontonr&gt;1499,IF(kontonr&lt;1560,$N114),0)+IF(kontonr&gt;(Kontoplan!P$3-1),IF(kontonr&lt;(Kontoplan!P$3+300),$N114,0),0)</f>
        <v>0</v>
      </c>
      <c r="U114" s="71">
        <f t="shared" si="16"/>
        <v>0</v>
      </c>
      <c r="V114" s="71">
        <f t="shared" si="17"/>
        <v>0</v>
      </c>
      <c r="W114" s="71">
        <f t="shared" si="18"/>
        <v>0</v>
      </c>
      <c r="X114" s="71">
        <f t="shared" si="19"/>
        <v>0</v>
      </c>
      <c r="Y114" s="71">
        <f t="shared" si="20"/>
        <v>0</v>
      </c>
      <c r="Z114" s="71">
        <f>IF(kontonr&gt;2399,IF(kontonr&lt;2500,$N114),0)+IF(kontonr&gt;(Kontoplan!$P$4-1),IF(kontonr&lt;(Kontoplan!$P$4+600),$N114,0),0)</f>
        <v>0</v>
      </c>
      <c r="AA114" s="71">
        <f t="shared" si="21"/>
        <v>0</v>
      </c>
      <c r="AB114" s="71">
        <f t="shared" si="22"/>
        <v>0</v>
      </c>
      <c r="AC114" s="71">
        <f t="shared" si="23"/>
        <v>0</v>
      </c>
      <c r="AD114" s="71">
        <f t="shared" si="24"/>
        <v>0</v>
      </c>
      <c r="AE114" s="71">
        <f t="shared" si="25"/>
        <v>0</v>
      </c>
      <c r="AF114" s="306">
        <f t="shared" si="26"/>
        <v>0</v>
      </c>
      <c r="AG114" s="74">
        <f t="shared" si="27"/>
        <v>0</v>
      </c>
      <c r="AH114" s="71">
        <f t="shared" si="28"/>
        <v>0</v>
      </c>
      <c r="AI114" s="71">
        <f t="shared" si="29"/>
        <v>0</v>
      </c>
      <c r="AJ114" s="71">
        <f t="shared" si="85"/>
        <v>0</v>
      </c>
      <c r="AK114" s="71">
        <f t="shared" si="31"/>
        <v>0</v>
      </c>
      <c r="AL114" s="71">
        <f t="shared" si="32"/>
        <v>0</v>
      </c>
      <c r="AM114" s="71">
        <f t="shared" si="86"/>
        <v>0</v>
      </c>
      <c r="AN114" s="71">
        <f t="shared" si="87"/>
        <v>0</v>
      </c>
      <c r="AO114" s="71">
        <f t="shared" si="35"/>
        <v>0</v>
      </c>
      <c r="AP114" s="71">
        <f t="shared" si="36"/>
        <v>0</v>
      </c>
      <c r="AQ114" s="71">
        <f t="shared" si="37"/>
        <v>0</v>
      </c>
      <c r="AR114" s="71">
        <f t="shared" si="38"/>
        <v>0</v>
      </c>
      <c r="AS114" s="71">
        <f t="shared" si="39"/>
        <v>0</v>
      </c>
      <c r="AT114" s="71">
        <f t="shared" si="40"/>
        <v>0</v>
      </c>
      <c r="AU114" s="306">
        <f t="shared" si="41"/>
        <v>0</v>
      </c>
      <c r="AV114" s="71">
        <f t="shared" si="42"/>
        <v>0</v>
      </c>
      <c r="AW114" s="71">
        <f t="shared" si="43"/>
        <v>0</v>
      </c>
      <c r="AX114" s="71">
        <f t="shared" si="44"/>
        <v>0</v>
      </c>
      <c r="AY114" s="113">
        <f t="shared" si="88"/>
        <v>0</v>
      </c>
      <c r="AZ114" s="113">
        <f t="shared" si="80"/>
        <v>0</v>
      </c>
      <c r="BA114" s="113">
        <f t="shared" si="82"/>
        <v>0</v>
      </c>
      <c r="BB114" s="113">
        <f t="shared" si="82"/>
        <v>0</v>
      </c>
      <c r="BC114" s="113">
        <f t="shared" si="82"/>
        <v>0</v>
      </c>
      <c r="BD114" s="113">
        <f t="shared" si="82"/>
        <v>0</v>
      </c>
      <c r="BE114" s="113">
        <f t="shared" si="82"/>
        <v>0</v>
      </c>
      <c r="BF114" s="113">
        <f t="shared" si="82"/>
        <v>0</v>
      </c>
      <c r="BG114" s="113">
        <f t="shared" si="82"/>
        <v>0</v>
      </c>
      <c r="BH114" s="113">
        <f t="shared" si="82"/>
        <v>0</v>
      </c>
      <c r="BI114" s="113">
        <f t="shared" si="82"/>
        <v>0</v>
      </c>
      <c r="BJ114" s="113">
        <f t="shared" si="82"/>
        <v>0</v>
      </c>
      <c r="BK114" s="113">
        <f t="shared" si="82"/>
        <v>0</v>
      </c>
      <c r="BL114" s="113">
        <f t="shared" si="82"/>
        <v>0</v>
      </c>
      <c r="BM114" s="113">
        <f t="shared" si="82"/>
        <v>0</v>
      </c>
      <c r="BN114" s="113">
        <f t="shared" si="82"/>
        <v>0</v>
      </c>
      <c r="BO114" s="113">
        <f t="shared" si="82"/>
        <v>0</v>
      </c>
      <c r="BP114" s="113">
        <f t="shared" si="82"/>
        <v>0</v>
      </c>
      <c r="BQ114" s="113">
        <f t="shared" si="83"/>
        <v>0</v>
      </c>
      <c r="BR114" s="113">
        <f t="shared" si="83"/>
        <v>0</v>
      </c>
      <c r="BS114" s="113">
        <f t="shared" si="47"/>
        <v>0</v>
      </c>
      <c r="BT114" s="113">
        <f t="shared" si="48"/>
        <v>0</v>
      </c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08">
        <f t="shared" si="49"/>
      </c>
      <c r="CJ114" s="113"/>
      <c r="CK114" s="113"/>
      <c r="CL114" s="113"/>
      <c r="CM114" s="113"/>
    </row>
    <row r="115" spans="1:91" s="112" customFormat="1" ht="15">
      <c r="A115" s="103"/>
      <c r="B115" s="104"/>
      <c r="C115" s="115"/>
      <c r="D115" s="106"/>
      <c r="E115" s="107">
        <f t="shared" si="60"/>
      </c>
      <c r="F115" s="108">
        <f t="shared" si="8"/>
      </c>
      <c r="G115" s="109"/>
      <c r="H115" s="110"/>
      <c r="I115" s="486">
        <f t="shared" si="61"/>
        <v>0</v>
      </c>
      <c r="J115" s="486">
        <f t="shared" si="77"/>
        <v>0</v>
      </c>
      <c r="K115" s="486">
        <f t="shared" si="78"/>
        <v>0</v>
      </c>
      <c r="L115" s="111">
        <f t="shared" si="10"/>
        <v>0</v>
      </c>
      <c r="M115" s="176">
        <f t="shared" si="84"/>
        <v>0</v>
      </c>
      <c r="N115" s="177">
        <f t="shared" si="79"/>
        <v>0</v>
      </c>
      <c r="P115" s="306">
        <f t="shared" si="12"/>
        <v>0</v>
      </c>
      <c r="Q115" s="71">
        <f t="shared" si="13"/>
        <v>0</v>
      </c>
      <c r="R115" s="71">
        <f t="shared" si="14"/>
        <v>0</v>
      </c>
      <c r="S115" s="71">
        <f t="shared" si="15"/>
        <v>0</v>
      </c>
      <c r="T115" s="71">
        <f>IF(kontonr&gt;1499,IF(kontonr&lt;1560,$N115),0)+IF(kontonr&gt;(Kontoplan!P$3-1),IF(kontonr&lt;(Kontoplan!P$3+300),$N115,0),0)</f>
        <v>0</v>
      </c>
      <c r="U115" s="71">
        <f t="shared" si="16"/>
        <v>0</v>
      </c>
      <c r="V115" s="71">
        <f t="shared" si="17"/>
        <v>0</v>
      </c>
      <c r="W115" s="71">
        <f t="shared" si="18"/>
        <v>0</v>
      </c>
      <c r="X115" s="71">
        <f t="shared" si="19"/>
        <v>0</v>
      </c>
      <c r="Y115" s="71">
        <f t="shared" si="20"/>
        <v>0</v>
      </c>
      <c r="Z115" s="71">
        <f>IF(kontonr&gt;2399,IF(kontonr&lt;2500,$N115),0)+IF(kontonr&gt;(Kontoplan!$P$4-1),IF(kontonr&lt;(Kontoplan!$P$4+600),$N115,0),0)</f>
        <v>0</v>
      </c>
      <c r="AA115" s="71">
        <f t="shared" si="21"/>
        <v>0</v>
      </c>
      <c r="AB115" s="71">
        <f t="shared" si="22"/>
        <v>0</v>
      </c>
      <c r="AC115" s="71">
        <f t="shared" si="23"/>
        <v>0</v>
      </c>
      <c r="AD115" s="71">
        <f t="shared" si="24"/>
        <v>0</v>
      </c>
      <c r="AE115" s="71">
        <f t="shared" si="25"/>
        <v>0</v>
      </c>
      <c r="AF115" s="306">
        <f t="shared" si="26"/>
        <v>0</v>
      </c>
      <c r="AG115" s="74">
        <f t="shared" si="27"/>
        <v>0</v>
      </c>
      <c r="AH115" s="71">
        <f t="shared" si="28"/>
        <v>0</v>
      </c>
      <c r="AI115" s="71">
        <f t="shared" si="29"/>
        <v>0</v>
      </c>
      <c r="AJ115" s="71">
        <f t="shared" si="85"/>
        <v>0</v>
      </c>
      <c r="AK115" s="71">
        <f t="shared" si="31"/>
        <v>0</v>
      </c>
      <c r="AL115" s="71">
        <f t="shared" si="32"/>
        <v>0</v>
      </c>
      <c r="AM115" s="71">
        <f t="shared" si="86"/>
        <v>0</v>
      </c>
      <c r="AN115" s="71">
        <f t="shared" si="87"/>
        <v>0</v>
      </c>
      <c r="AO115" s="71">
        <f t="shared" si="35"/>
        <v>0</v>
      </c>
      <c r="AP115" s="71">
        <f t="shared" si="36"/>
        <v>0</v>
      </c>
      <c r="AQ115" s="71">
        <f t="shared" si="37"/>
        <v>0</v>
      </c>
      <c r="AR115" s="71">
        <f t="shared" si="38"/>
        <v>0</v>
      </c>
      <c r="AS115" s="71">
        <f t="shared" si="39"/>
        <v>0</v>
      </c>
      <c r="AT115" s="71">
        <f t="shared" si="40"/>
        <v>0</v>
      </c>
      <c r="AU115" s="306">
        <f t="shared" si="41"/>
        <v>0</v>
      </c>
      <c r="AV115" s="71">
        <f t="shared" si="42"/>
        <v>0</v>
      </c>
      <c r="AW115" s="71">
        <f t="shared" si="43"/>
        <v>0</v>
      </c>
      <c r="AX115" s="71">
        <f t="shared" si="44"/>
        <v>0</v>
      </c>
      <c r="AY115" s="113">
        <f t="shared" si="88"/>
        <v>0</v>
      </c>
      <c r="AZ115" s="113">
        <f t="shared" si="80"/>
        <v>0</v>
      </c>
      <c r="BA115" s="113">
        <f t="shared" si="82"/>
        <v>0</v>
      </c>
      <c r="BB115" s="113">
        <f t="shared" si="82"/>
        <v>0</v>
      </c>
      <c r="BC115" s="113">
        <f t="shared" si="82"/>
        <v>0</v>
      </c>
      <c r="BD115" s="113">
        <f t="shared" si="82"/>
        <v>0</v>
      </c>
      <c r="BE115" s="113">
        <f t="shared" si="82"/>
        <v>0</v>
      </c>
      <c r="BF115" s="113">
        <f t="shared" si="82"/>
        <v>0</v>
      </c>
      <c r="BG115" s="113">
        <f t="shared" si="82"/>
        <v>0</v>
      </c>
      <c r="BH115" s="113">
        <f t="shared" si="82"/>
        <v>0</v>
      </c>
      <c r="BI115" s="113">
        <f t="shared" si="82"/>
        <v>0</v>
      </c>
      <c r="BJ115" s="113">
        <f t="shared" si="82"/>
        <v>0</v>
      </c>
      <c r="BK115" s="113">
        <f t="shared" si="82"/>
        <v>0</v>
      </c>
      <c r="BL115" s="113">
        <f t="shared" si="82"/>
        <v>0</v>
      </c>
      <c r="BM115" s="113">
        <f t="shared" si="82"/>
        <v>0</v>
      </c>
      <c r="BN115" s="113">
        <f t="shared" si="82"/>
        <v>0</v>
      </c>
      <c r="BO115" s="113">
        <f t="shared" si="82"/>
        <v>0</v>
      </c>
      <c r="BP115" s="113">
        <f t="shared" si="82"/>
        <v>0</v>
      </c>
      <c r="BQ115" s="113">
        <f t="shared" si="83"/>
        <v>0</v>
      </c>
      <c r="BR115" s="113">
        <f t="shared" si="83"/>
        <v>0</v>
      </c>
      <c r="BS115" s="113">
        <f t="shared" si="47"/>
        <v>0</v>
      </c>
      <c r="BT115" s="113">
        <f t="shared" si="48"/>
        <v>0</v>
      </c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08">
        <f t="shared" si="49"/>
      </c>
      <c r="CJ115" s="113"/>
      <c r="CK115" s="113"/>
      <c r="CL115" s="113"/>
      <c r="CM115" s="113"/>
    </row>
    <row r="116" spans="1:91" s="112" customFormat="1" ht="15">
      <c r="A116" s="103"/>
      <c r="B116" s="104"/>
      <c r="C116" s="115"/>
      <c r="D116" s="106"/>
      <c r="E116" s="107">
        <f t="shared" si="60"/>
      </c>
      <c r="F116" s="108">
        <f t="shared" si="8"/>
      </c>
      <c r="G116" s="109"/>
      <c r="H116" s="110"/>
      <c r="I116" s="486">
        <f t="shared" si="61"/>
        <v>0</v>
      </c>
      <c r="J116" s="486">
        <f t="shared" si="77"/>
        <v>0</v>
      </c>
      <c r="K116" s="486">
        <f t="shared" si="78"/>
        <v>0</v>
      </c>
      <c r="L116" s="111">
        <f t="shared" si="10"/>
        <v>0</v>
      </c>
      <c r="M116" s="176">
        <f t="shared" si="84"/>
        <v>0</v>
      </c>
      <c r="N116" s="177">
        <f t="shared" si="79"/>
        <v>0</v>
      </c>
      <c r="P116" s="306">
        <f t="shared" si="12"/>
        <v>0</v>
      </c>
      <c r="Q116" s="71">
        <f t="shared" si="13"/>
        <v>0</v>
      </c>
      <c r="R116" s="71">
        <f t="shared" si="14"/>
        <v>0</v>
      </c>
      <c r="S116" s="71">
        <f t="shared" si="15"/>
        <v>0</v>
      </c>
      <c r="T116" s="71">
        <f>IF(kontonr&gt;1499,IF(kontonr&lt;1560,$N116),0)+IF(kontonr&gt;(Kontoplan!P$3-1),IF(kontonr&lt;(Kontoplan!P$3+300),$N116,0),0)</f>
        <v>0</v>
      </c>
      <c r="U116" s="71">
        <f t="shared" si="16"/>
        <v>0</v>
      </c>
      <c r="V116" s="71">
        <f t="shared" si="17"/>
        <v>0</v>
      </c>
      <c r="W116" s="71">
        <f t="shared" si="18"/>
        <v>0</v>
      </c>
      <c r="X116" s="71">
        <f t="shared" si="19"/>
        <v>0</v>
      </c>
      <c r="Y116" s="71">
        <f t="shared" si="20"/>
        <v>0</v>
      </c>
      <c r="Z116" s="71">
        <f>IF(kontonr&gt;2399,IF(kontonr&lt;2500,$N116),0)+IF(kontonr&gt;(Kontoplan!$P$4-1),IF(kontonr&lt;(Kontoplan!$P$4+600),$N116,0),0)</f>
        <v>0</v>
      </c>
      <c r="AA116" s="71">
        <f t="shared" si="21"/>
        <v>0</v>
      </c>
      <c r="AB116" s="71">
        <f t="shared" si="22"/>
        <v>0</v>
      </c>
      <c r="AC116" s="71">
        <f t="shared" si="23"/>
        <v>0</v>
      </c>
      <c r="AD116" s="71">
        <f t="shared" si="24"/>
        <v>0</v>
      </c>
      <c r="AE116" s="71">
        <f t="shared" si="25"/>
        <v>0</v>
      </c>
      <c r="AF116" s="306">
        <f t="shared" si="26"/>
        <v>0</v>
      </c>
      <c r="AG116" s="74">
        <f t="shared" si="27"/>
        <v>0</v>
      </c>
      <c r="AH116" s="71">
        <f t="shared" si="28"/>
        <v>0</v>
      </c>
      <c r="AI116" s="71">
        <f t="shared" si="29"/>
        <v>0</v>
      </c>
      <c r="AJ116" s="71">
        <f t="shared" si="85"/>
        <v>0</v>
      </c>
      <c r="AK116" s="71">
        <f t="shared" si="31"/>
        <v>0</v>
      </c>
      <c r="AL116" s="71">
        <f t="shared" si="32"/>
        <v>0</v>
      </c>
      <c r="AM116" s="71">
        <f t="shared" si="86"/>
        <v>0</v>
      </c>
      <c r="AN116" s="71">
        <f t="shared" si="87"/>
        <v>0</v>
      </c>
      <c r="AO116" s="71">
        <f t="shared" si="35"/>
        <v>0</v>
      </c>
      <c r="AP116" s="71">
        <f t="shared" si="36"/>
        <v>0</v>
      </c>
      <c r="AQ116" s="71">
        <f t="shared" si="37"/>
        <v>0</v>
      </c>
      <c r="AR116" s="71">
        <f t="shared" si="38"/>
        <v>0</v>
      </c>
      <c r="AS116" s="71">
        <f t="shared" si="39"/>
        <v>0</v>
      </c>
      <c r="AT116" s="71">
        <f t="shared" si="40"/>
        <v>0</v>
      </c>
      <c r="AU116" s="306">
        <f t="shared" si="41"/>
        <v>0</v>
      </c>
      <c r="AV116" s="71">
        <f t="shared" si="42"/>
        <v>0</v>
      </c>
      <c r="AW116" s="71">
        <f t="shared" si="43"/>
        <v>0</v>
      </c>
      <c r="AX116" s="71">
        <f t="shared" si="44"/>
        <v>0</v>
      </c>
      <c r="AY116" s="113">
        <f t="shared" si="88"/>
        <v>0</v>
      </c>
      <c r="AZ116" s="113">
        <f t="shared" si="80"/>
        <v>0</v>
      </c>
      <c r="BA116" s="113">
        <f t="shared" si="82"/>
        <v>0</v>
      </c>
      <c r="BB116" s="113">
        <f t="shared" si="82"/>
        <v>0</v>
      </c>
      <c r="BC116" s="113">
        <f t="shared" si="82"/>
        <v>0</v>
      </c>
      <c r="BD116" s="113">
        <f t="shared" si="82"/>
        <v>0</v>
      </c>
      <c r="BE116" s="113">
        <f t="shared" si="82"/>
        <v>0</v>
      </c>
      <c r="BF116" s="113">
        <f t="shared" si="82"/>
        <v>0</v>
      </c>
      <c r="BG116" s="113">
        <f t="shared" si="82"/>
        <v>0</v>
      </c>
      <c r="BH116" s="113">
        <f t="shared" si="82"/>
        <v>0</v>
      </c>
      <c r="BI116" s="113">
        <f t="shared" si="82"/>
        <v>0</v>
      </c>
      <c r="BJ116" s="113">
        <f t="shared" si="82"/>
        <v>0</v>
      </c>
      <c r="BK116" s="113">
        <f t="shared" si="82"/>
        <v>0</v>
      </c>
      <c r="BL116" s="113">
        <f t="shared" si="82"/>
        <v>0</v>
      </c>
      <c r="BM116" s="113">
        <f t="shared" si="82"/>
        <v>0</v>
      </c>
      <c r="BN116" s="113">
        <f t="shared" si="82"/>
        <v>0</v>
      </c>
      <c r="BO116" s="113">
        <f t="shared" si="82"/>
        <v>0</v>
      </c>
      <c r="BP116" s="113">
        <f t="shared" si="82"/>
        <v>0</v>
      </c>
      <c r="BQ116" s="113">
        <f t="shared" si="83"/>
        <v>0</v>
      </c>
      <c r="BR116" s="113">
        <f t="shared" si="83"/>
        <v>0</v>
      </c>
      <c r="BS116" s="113">
        <f t="shared" si="47"/>
        <v>0</v>
      </c>
      <c r="BT116" s="113">
        <f t="shared" si="48"/>
        <v>0</v>
      </c>
      <c r="BU116" s="113"/>
      <c r="BV116" s="113"/>
      <c r="BW116" s="113"/>
      <c r="BX116" s="113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08">
        <f t="shared" si="49"/>
      </c>
      <c r="CJ116" s="113"/>
      <c r="CK116" s="113"/>
      <c r="CL116" s="113"/>
      <c r="CM116" s="113"/>
    </row>
    <row r="117" spans="1:91" s="112" customFormat="1" ht="15">
      <c r="A117" s="103"/>
      <c r="B117" s="104"/>
      <c r="C117" s="115"/>
      <c r="D117" s="106"/>
      <c r="E117" s="107">
        <f t="shared" si="60"/>
      </c>
      <c r="F117" s="108">
        <f t="shared" si="8"/>
      </c>
      <c r="G117" s="109"/>
      <c r="H117" s="110"/>
      <c r="I117" s="486">
        <f t="shared" si="61"/>
        <v>0</v>
      </c>
      <c r="J117" s="486">
        <f t="shared" si="77"/>
        <v>0</v>
      </c>
      <c r="K117" s="486">
        <f t="shared" si="78"/>
        <v>0</v>
      </c>
      <c r="L117" s="111">
        <f t="shared" si="10"/>
        <v>0</v>
      </c>
      <c r="M117" s="176">
        <f t="shared" si="84"/>
        <v>0</v>
      </c>
      <c r="N117" s="177">
        <f t="shared" si="79"/>
        <v>0</v>
      </c>
      <c r="P117" s="306">
        <f t="shared" si="12"/>
        <v>0</v>
      </c>
      <c r="Q117" s="71">
        <f t="shared" si="13"/>
        <v>0</v>
      </c>
      <c r="R117" s="71">
        <f t="shared" si="14"/>
        <v>0</v>
      </c>
      <c r="S117" s="71">
        <f t="shared" si="15"/>
        <v>0</v>
      </c>
      <c r="T117" s="71">
        <f>IF(kontonr&gt;1499,IF(kontonr&lt;1560,$N117),0)+IF(kontonr&gt;(Kontoplan!P$3-1),IF(kontonr&lt;(Kontoplan!P$3+300),$N117,0),0)</f>
        <v>0</v>
      </c>
      <c r="U117" s="71">
        <f t="shared" si="16"/>
        <v>0</v>
      </c>
      <c r="V117" s="71">
        <f t="shared" si="17"/>
        <v>0</v>
      </c>
      <c r="W117" s="71">
        <f t="shared" si="18"/>
        <v>0</v>
      </c>
      <c r="X117" s="71">
        <f t="shared" si="19"/>
        <v>0</v>
      </c>
      <c r="Y117" s="71">
        <f t="shared" si="20"/>
        <v>0</v>
      </c>
      <c r="Z117" s="71">
        <f>IF(kontonr&gt;2399,IF(kontonr&lt;2500,$N117),0)+IF(kontonr&gt;(Kontoplan!$P$4-1),IF(kontonr&lt;(Kontoplan!$P$4+600),$N117,0),0)</f>
        <v>0</v>
      </c>
      <c r="AA117" s="71">
        <f t="shared" si="21"/>
        <v>0</v>
      </c>
      <c r="AB117" s="71">
        <f t="shared" si="22"/>
        <v>0</v>
      </c>
      <c r="AC117" s="71">
        <f t="shared" si="23"/>
        <v>0</v>
      </c>
      <c r="AD117" s="71">
        <f t="shared" si="24"/>
        <v>0</v>
      </c>
      <c r="AE117" s="71">
        <f t="shared" si="25"/>
        <v>0</v>
      </c>
      <c r="AF117" s="306">
        <f t="shared" si="26"/>
        <v>0</v>
      </c>
      <c r="AG117" s="74">
        <f t="shared" si="27"/>
        <v>0</v>
      </c>
      <c r="AH117" s="71">
        <f t="shared" si="28"/>
        <v>0</v>
      </c>
      <c r="AI117" s="71">
        <f t="shared" si="29"/>
        <v>0</v>
      </c>
      <c r="AJ117" s="71">
        <f t="shared" si="85"/>
        <v>0</v>
      </c>
      <c r="AK117" s="71">
        <f t="shared" si="31"/>
        <v>0</v>
      </c>
      <c r="AL117" s="71">
        <f t="shared" si="32"/>
        <v>0</v>
      </c>
      <c r="AM117" s="71">
        <f t="shared" si="86"/>
        <v>0</v>
      </c>
      <c r="AN117" s="71">
        <f t="shared" si="87"/>
        <v>0</v>
      </c>
      <c r="AO117" s="71">
        <f t="shared" si="35"/>
        <v>0</v>
      </c>
      <c r="AP117" s="71">
        <f t="shared" si="36"/>
        <v>0</v>
      </c>
      <c r="AQ117" s="71">
        <f t="shared" si="37"/>
        <v>0</v>
      </c>
      <c r="AR117" s="71">
        <f t="shared" si="38"/>
        <v>0</v>
      </c>
      <c r="AS117" s="71">
        <f t="shared" si="39"/>
        <v>0</v>
      </c>
      <c r="AT117" s="71">
        <f t="shared" si="40"/>
        <v>0</v>
      </c>
      <c r="AU117" s="306">
        <f t="shared" si="41"/>
        <v>0</v>
      </c>
      <c r="AV117" s="71">
        <f t="shared" si="42"/>
        <v>0</v>
      </c>
      <c r="AW117" s="71">
        <f t="shared" si="43"/>
        <v>0</v>
      </c>
      <c r="AX117" s="71">
        <f t="shared" si="44"/>
        <v>0</v>
      </c>
      <c r="AY117" s="113">
        <f t="shared" si="88"/>
        <v>0</v>
      </c>
      <c r="AZ117" s="113">
        <f t="shared" si="80"/>
        <v>0</v>
      </c>
      <c r="BA117" s="113">
        <f t="shared" si="82"/>
        <v>0</v>
      </c>
      <c r="BB117" s="113">
        <f t="shared" si="82"/>
        <v>0</v>
      </c>
      <c r="BC117" s="113">
        <f t="shared" si="82"/>
        <v>0</v>
      </c>
      <c r="BD117" s="113">
        <f t="shared" si="82"/>
        <v>0</v>
      </c>
      <c r="BE117" s="113">
        <f t="shared" si="82"/>
        <v>0</v>
      </c>
      <c r="BF117" s="113">
        <f t="shared" si="82"/>
        <v>0</v>
      </c>
      <c r="BG117" s="113">
        <f t="shared" si="82"/>
        <v>0</v>
      </c>
      <c r="BH117" s="113">
        <f t="shared" si="82"/>
        <v>0</v>
      </c>
      <c r="BI117" s="113">
        <f t="shared" si="82"/>
        <v>0</v>
      </c>
      <c r="BJ117" s="113">
        <f t="shared" si="82"/>
        <v>0</v>
      </c>
      <c r="BK117" s="113">
        <f t="shared" si="82"/>
        <v>0</v>
      </c>
      <c r="BL117" s="113">
        <f t="shared" si="82"/>
        <v>0</v>
      </c>
      <c r="BM117" s="113">
        <f t="shared" si="82"/>
        <v>0</v>
      </c>
      <c r="BN117" s="113">
        <f t="shared" si="82"/>
        <v>0</v>
      </c>
      <c r="BO117" s="113">
        <f t="shared" si="82"/>
        <v>0</v>
      </c>
      <c r="BP117" s="113">
        <f t="shared" si="82"/>
        <v>0</v>
      </c>
      <c r="BQ117" s="113">
        <f t="shared" si="83"/>
        <v>0</v>
      </c>
      <c r="BR117" s="113">
        <f t="shared" si="83"/>
        <v>0</v>
      </c>
      <c r="BS117" s="113">
        <f t="shared" si="47"/>
        <v>0</v>
      </c>
      <c r="BT117" s="113">
        <f t="shared" si="48"/>
        <v>0</v>
      </c>
      <c r="BU117" s="113"/>
      <c r="BV117" s="113"/>
      <c r="BW117" s="113"/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08">
        <f t="shared" si="49"/>
      </c>
      <c r="CJ117" s="113"/>
      <c r="CK117" s="113"/>
      <c r="CL117" s="113"/>
      <c r="CM117" s="113"/>
    </row>
    <row r="118" spans="1:91" s="112" customFormat="1" ht="15">
      <c r="A118" s="103"/>
      <c r="B118" s="104"/>
      <c r="C118" s="115"/>
      <c r="D118" s="106"/>
      <c r="E118" s="107">
        <f aca="true" t="shared" si="89" ref="E118:E133">IF(kontonr="","",VLOOKUP(kontonr,kontoplan,2))</f>
      </c>
      <c r="F118" s="108">
        <f t="shared" si="8"/>
      </c>
      <c r="G118" s="109"/>
      <c r="H118" s="110"/>
      <c r="I118" s="486">
        <f aca="true" t="shared" si="90" ref="I118:I133">+debet-kredit-imva-invavg-umva</f>
        <v>0</v>
      </c>
      <c r="J118" s="486">
        <f t="shared" si="77"/>
        <v>0</v>
      </c>
      <c r="K118" s="486">
        <f t="shared" si="78"/>
        <v>0</v>
      </c>
      <c r="L118" s="111">
        <f t="shared" si="10"/>
        <v>0</v>
      </c>
      <c r="M118" s="176">
        <f t="shared" si="84"/>
        <v>0</v>
      </c>
      <c r="N118" s="177">
        <f t="shared" si="79"/>
        <v>0</v>
      </c>
      <c r="P118" s="306">
        <f t="shared" si="12"/>
        <v>0</v>
      </c>
      <c r="Q118" s="71">
        <f t="shared" si="13"/>
        <v>0</v>
      </c>
      <c r="R118" s="71">
        <f t="shared" si="14"/>
        <v>0</v>
      </c>
      <c r="S118" s="71">
        <f t="shared" si="15"/>
        <v>0</v>
      </c>
      <c r="T118" s="71">
        <f>IF(kontonr&gt;1499,IF(kontonr&lt;1560,$N118),0)+IF(kontonr&gt;(Kontoplan!P$3-1),IF(kontonr&lt;(Kontoplan!P$3+300),$N118,0),0)</f>
        <v>0</v>
      </c>
      <c r="U118" s="71">
        <f t="shared" si="16"/>
        <v>0</v>
      </c>
      <c r="V118" s="71">
        <f t="shared" si="17"/>
        <v>0</v>
      </c>
      <c r="W118" s="71">
        <f t="shared" si="18"/>
        <v>0</v>
      </c>
      <c r="X118" s="71">
        <f t="shared" si="19"/>
        <v>0</v>
      </c>
      <c r="Y118" s="71">
        <f t="shared" si="20"/>
        <v>0</v>
      </c>
      <c r="Z118" s="71">
        <f>IF(kontonr&gt;2399,IF(kontonr&lt;2500,$N118),0)+IF(kontonr&gt;(Kontoplan!$P$4-1),IF(kontonr&lt;(Kontoplan!$P$4+600),$N118,0),0)</f>
        <v>0</v>
      </c>
      <c r="AA118" s="71">
        <f t="shared" si="21"/>
        <v>0</v>
      </c>
      <c r="AB118" s="71">
        <f t="shared" si="22"/>
        <v>0</v>
      </c>
      <c r="AC118" s="71">
        <f t="shared" si="23"/>
        <v>0</v>
      </c>
      <c r="AD118" s="71">
        <f t="shared" si="24"/>
        <v>0</v>
      </c>
      <c r="AE118" s="71">
        <f t="shared" si="25"/>
        <v>0</v>
      </c>
      <c r="AF118" s="306">
        <f t="shared" si="26"/>
        <v>0</v>
      </c>
      <c r="AG118" s="74">
        <f t="shared" si="27"/>
        <v>0</v>
      </c>
      <c r="AH118" s="71">
        <f t="shared" si="28"/>
        <v>0</v>
      </c>
      <c r="AI118" s="71">
        <f t="shared" si="29"/>
        <v>0</v>
      </c>
      <c r="AJ118" s="71">
        <f t="shared" si="85"/>
        <v>0</v>
      </c>
      <c r="AK118" s="71">
        <f t="shared" si="31"/>
        <v>0</v>
      </c>
      <c r="AL118" s="71">
        <f t="shared" si="32"/>
        <v>0</v>
      </c>
      <c r="AM118" s="71">
        <f t="shared" si="86"/>
        <v>0</v>
      </c>
      <c r="AN118" s="71">
        <f t="shared" si="87"/>
        <v>0</v>
      </c>
      <c r="AO118" s="71">
        <f t="shared" si="35"/>
        <v>0</v>
      </c>
      <c r="AP118" s="71">
        <f t="shared" si="36"/>
        <v>0</v>
      </c>
      <c r="AQ118" s="71">
        <f t="shared" si="37"/>
        <v>0</v>
      </c>
      <c r="AR118" s="71">
        <f t="shared" si="38"/>
        <v>0</v>
      </c>
      <c r="AS118" s="71">
        <f t="shared" si="39"/>
        <v>0</v>
      </c>
      <c r="AT118" s="71">
        <f t="shared" si="40"/>
        <v>0</v>
      </c>
      <c r="AU118" s="306">
        <f t="shared" si="41"/>
        <v>0</v>
      </c>
      <c r="AV118" s="71">
        <f t="shared" si="42"/>
        <v>0</v>
      </c>
      <c r="AW118" s="71">
        <f t="shared" si="43"/>
        <v>0</v>
      </c>
      <c r="AX118" s="71">
        <f t="shared" si="44"/>
        <v>0</v>
      </c>
      <c r="AY118" s="113">
        <f t="shared" si="88"/>
        <v>0</v>
      </c>
      <c r="AZ118" s="113">
        <f t="shared" si="80"/>
        <v>0</v>
      </c>
      <c r="BA118" s="113">
        <f t="shared" si="82"/>
        <v>0</v>
      </c>
      <c r="BB118" s="113">
        <f t="shared" si="82"/>
        <v>0</v>
      </c>
      <c r="BC118" s="113">
        <f t="shared" si="82"/>
        <v>0</v>
      </c>
      <c r="BD118" s="113">
        <f t="shared" si="82"/>
        <v>0</v>
      </c>
      <c r="BE118" s="113">
        <f t="shared" si="82"/>
        <v>0</v>
      </c>
      <c r="BF118" s="113">
        <f t="shared" si="82"/>
        <v>0</v>
      </c>
      <c r="BG118" s="113">
        <f t="shared" si="82"/>
        <v>0</v>
      </c>
      <c r="BH118" s="113">
        <f t="shared" si="82"/>
        <v>0</v>
      </c>
      <c r="BI118" s="113">
        <f t="shared" si="82"/>
        <v>0</v>
      </c>
      <c r="BJ118" s="113">
        <f t="shared" si="82"/>
        <v>0</v>
      </c>
      <c r="BK118" s="113">
        <f t="shared" si="82"/>
        <v>0</v>
      </c>
      <c r="BL118" s="113">
        <f t="shared" si="82"/>
        <v>0</v>
      </c>
      <c r="BM118" s="113">
        <f t="shared" si="82"/>
        <v>0</v>
      </c>
      <c r="BN118" s="113">
        <f t="shared" si="82"/>
        <v>0</v>
      </c>
      <c r="BO118" s="113">
        <f t="shared" si="82"/>
        <v>0</v>
      </c>
      <c r="BP118" s="113">
        <f t="shared" si="82"/>
        <v>0</v>
      </c>
      <c r="BQ118" s="113">
        <f t="shared" si="83"/>
        <v>0</v>
      </c>
      <c r="BR118" s="113">
        <f t="shared" si="83"/>
        <v>0</v>
      </c>
      <c r="BS118" s="113">
        <f t="shared" si="47"/>
        <v>0</v>
      </c>
      <c r="BT118" s="113">
        <f t="shared" si="48"/>
        <v>0</v>
      </c>
      <c r="BU118" s="113"/>
      <c r="BV118" s="113"/>
      <c r="BW118" s="113"/>
      <c r="BX118" s="113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08">
        <f t="shared" si="49"/>
      </c>
      <c r="CJ118" s="113"/>
      <c r="CK118" s="113"/>
      <c r="CL118" s="113"/>
      <c r="CM118" s="113"/>
    </row>
    <row r="119" spans="1:91" s="112" customFormat="1" ht="15">
      <c r="A119" s="103"/>
      <c r="B119" s="104"/>
      <c r="C119" s="115"/>
      <c r="D119" s="106"/>
      <c r="E119" s="107">
        <f t="shared" si="89"/>
      </c>
      <c r="F119" s="108">
        <f t="shared" si="8"/>
      </c>
      <c r="G119" s="109"/>
      <c r="H119" s="110"/>
      <c r="I119" s="486">
        <f t="shared" si="90"/>
        <v>0</v>
      </c>
      <c r="J119" s="486">
        <f t="shared" si="77"/>
        <v>0</v>
      </c>
      <c r="K119" s="486">
        <f t="shared" si="78"/>
        <v>0</v>
      </c>
      <c r="L119" s="111">
        <f t="shared" si="10"/>
        <v>0</v>
      </c>
      <c r="M119" s="176">
        <f t="shared" si="84"/>
        <v>0</v>
      </c>
      <c r="N119" s="177">
        <f t="shared" si="79"/>
        <v>0</v>
      </c>
      <c r="P119" s="306">
        <f t="shared" si="12"/>
        <v>0</v>
      </c>
      <c r="Q119" s="71">
        <f t="shared" si="13"/>
        <v>0</v>
      </c>
      <c r="R119" s="71">
        <f t="shared" si="14"/>
        <v>0</v>
      </c>
      <c r="S119" s="71">
        <f t="shared" si="15"/>
        <v>0</v>
      </c>
      <c r="T119" s="71">
        <f>IF(kontonr&gt;1499,IF(kontonr&lt;1560,$N119),0)+IF(kontonr&gt;(Kontoplan!P$3-1),IF(kontonr&lt;(Kontoplan!P$3+300),$N119,0),0)</f>
        <v>0</v>
      </c>
      <c r="U119" s="71">
        <f t="shared" si="16"/>
        <v>0</v>
      </c>
      <c r="V119" s="71">
        <f t="shared" si="17"/>
        <v>0</v>
      </c>
      <c r="W119" s="71">
        <f t="shared" si="18"/>
        <v>0</v>
      </c>
      <c r="X119" s="71">
        <f t="shared" si="19"/>
        <v>0</v>
      </c>
      <c r="Y119" s="71">
        <f t="shared" si="20"/>
        <v>0</v>
      </c>
      <c r="Z119" s="71">
        <f>IF(kontonr&gt;2399,IF(kontonr&lt;2500,$N119),0)+IF(kontonr&gt;(Kontoplan!$P$4-1),IF(kontonr&lt;(Kontoplan!$P$4+600),$N119,0),0)</f>
        <v>0</v>
      </c>
      <c r="AA119" s="71">
        <f t="shared" si="21"/>
        <v>0</v>
      </c>
      <c r="AB119" s="71">
        <f t="shared" si="22"/>
        <v>0</v>
      </c>
      <c r="AC119" s="71">
        <f t="shared" si="23"/>
        <v>0</v>
      </c>
      <c r="AD119" s="71">
        <f t="shared" si="24"/>
        <v>0</v>
      </c>
      <c r="AE119" s="71">
        <f t="shared" si="25"/>
        <v>0</v>
      </c>
      <c r="AF119" s="306">
        <f t="shared" si="26"/>
        <v>0</v>
      </c>
      <c r="AG119" s="74">
        <f t="shared" si="27"/>
        <v>0</v>
      </c>
      <c r="AH119" s="71">
        <f t="shared" si="28"/>
        <v>0</v>
      </c>
      <c r="AI119" s="71">
        <f t="shared" si="29"/>
        <v>0</v>
      </c>
      <c r="AJ119" s="71">
        <f t="shared" si="85"/>
        <v>0</v>
      </c>
      <c r="AK119" s="71">
        <f t="shared" si="31"/>
        <v>0</v>
      </c>
      <c r="AL119" s="71">
        <f t="shared" si="32"/>
        <v>0</v>
      </c>
      <c r="AM119" s="71">
        <f t="shared" si="86"/>
        <v>0</v>
      </c>
      <c r="AN119" s="71">
        <f t="shared" si="87"/>
        <v>0</v>
      </c>
      <c r="AO119" s="71">
        <f t="shared" si="35"/>
        <v>0</v>
      </c>
      <c r="AP119" s="71">
        <f t="shared" si="36"/>
        <v>0</v>
      </c>
      <c r="AQ119" s="71">
        <f t="shared" si="37"/>
        <v>0</v>
      </c>
      <c r="AR119" s="71">
        <f t="shared" si="38"/>
        <v>0</v>
      </c>
      <c r="AS119" s="71">
        <f t="shared" si="39"/>
        <v>0</v>
      </c>
      <c r="AT119" s="71">
        <f t="shared" si="40"/>
        <v>0</v>
      </c>
      <c r="AU119" s="306">
        <f t="shared" si="41"/>
        <v>0</v>
      </c>
      <c r="AV119" s="71">
        <f t="shared" si="42"/>
        <v>0</v>
      </c>
      <c r="AW119" s="71">
        <f t="shared" si="43"/>
        <v>0</v>
      </c>
      <c r="AX119" s="71">
        <f t="shared" si="44"/>
        <v>0</v>
      </c>
      <c r="AY119" s="113">
        <f t="shared" si="88"/>
        <v>0</v>
      </c>
      <c r="AZ119" s="113">
        <f t="shared" si="80"/>
        <v>0</v>
      </c>
      <c r="BA119" s="113">
        <f t="shared" si="82"/>
        <v>0</v>
      </c>
      <c r="BB119" s="113">
        <f t="shared" si="82"/>
        <v>0</v>
      </c>
      <c r="BC119" s="113">
        <f t="shared" si="82"/>
        <v>0</v>
      </c>
      <c r="BD119" s="113">
        <f t="shared" si="82"/>
        <v>0</v>
      </c>
      <c r="BE119" s="113">
        <f t="shared" si="82"/>
        <v>0</v>
      </c>
      <c r="BF119" s="113">
        <f t="shared" si="82"/>
        <v>0</v>
      </c>
      <c r="BG119" s="113">
        <f t="shared" si="82"/>
        <v>0</v>
      </c>
      <c r="BH119" s="113">
        <f t="shared" si="82"/>
        <v>0</v>
      </c>
      <c r="BI119" s="113">
        <f t="shared" si="82"/>
        <v>0</v>
      </c>
      <c r="BJ119" s="113">
        <f t="shared" si="82"/>
        <v>0</v>
      </c>
      <c r="BK119" s="113">
        <f t="shared" si="82"/>
        <v>0</v>
      </c>
      <c r="BL119" s="113">
        <f t="shared" si="82"/>
        <v>0</v>
      </c>
      <c r="BM119" s="113">
        <f t="shared" si="82"/>
        <v>0</v>
      </c>
      <c r="BN119" s="113">
        <f t="shared" si="82"/>
        <v>0</v>
      </c>
      <c r="BO119" s="113">
        <f t="shared" si="82"/>
        <v>0</v>
      </c>
      <c r="BP119" s="113">
        <f t="shared" si="82"/>
        <v>0</v>
      </c>
      <c r="BQ119" s="113">
        <f t="shared" si="83"/>
        <v>0</v>
      </c>
      <c r="BR119" s="113">
        <f t="shared" si="83"/>
        <v>0</v>
      </c>
      <c r="BS119" s="113">
        <f t="shared" si="47"/>
        <v>0</v>
      </c>
      <c r="BT119" s="113">
        <f t="shared" si="48"/>
        <v>0</v>
      </c>
      <c r="BU119" s="113"/>
      <c r="BV119" s="113"/>
      <c r="BW119" s="113"/>
      <c r="BX119" s="113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08">
        <f t="shared" si="49"/>
      </c>
      <c r="CJ119" s="113"/>
      <c r="CK119" s="113"/>
      <c r="CL119" s="113"/>
      <c r="CM119" s="113"/>
    </row>
    <row r="120" spans="1:91" s="112" customFormat="1" ht="15">
      <c r="A120" s="103"/>
      <c r="B120" s="104"/>
      <c r="C120" s="115"/>
      <c r="D120" s="106"/>
      <c r="E120" s="107">
        <f t="shared" si="89"/>
      </c>
      <c r="F120" s="108">
        <f t="shared" si="8"/>
      </c>
      <c r="G120" s="109"/>
      <c r="H120" s="110"/>
      <c r="I120" s="486">
        <f t="shared" si="90"/>
        <v>0</v>
      </c>
      <c r="J120" s="486">
        <f t="shared" si="77"/>
        <v>0</v>
      </c>
      <c r="K120" s="486">
        <f t="shared" si="78"/>
        <v>0</v>
      </c>
      <c r="L120" s="111">
        <f t="shared" si="10"/>
        <v>0</v>
      </c>
      <c r="M120" s="176">
        <f t="shared" si="84"/>
        <v>0</v>
      </c>
      <c r="N120" s="177">
        <f t="shared" si="79"/>
        <v>0</v>
      </c>
      <c r="P120" s="306">
        <f t="shared" si="12"/>
        <v>0</v>
      </c>
      <c r="Q120" s="71">
        <f t="shared" si="13"/>
        <v>0</v>
      </c>
      <c r="R120" s="71">
        <f t="shared" si="14"/>
        <v>0</v>
      </c>
      <c r="S120" s="71">
        <f t="shared" si="15"/>
        <v>0</v>
      </c>
      <c r="T120" s="71">
        <f>IF(kontonr&gt;1499,IF(kontonr&lt;1560,$N120),0)+IF(kontonr&gt;(Kontoplan!P$3-1),IF(kontonr&lt;(Kontoplan!P$3+300),$N120,0),0)</f>
        <v>0</v>
      </c>
      <c r="U120" s="71">
        <f t="shared" si="16"/>
        <v>0</v>
      </c>
      <c r="V120" s="71">
        <f t="shared" si="17"/>
        <v>0</v>
      </c>
      <c r="W120" s="71">
        <f t="shared" si="18"/>
        <v>0</v>
      </c>
      <c r="X120" s="71">
        <f t="shared" si="19"/>
        <v>0</v>
      </c>
      <c r="Y120" s="71">
        <f t="shared" si="20"/>
        <v>0</v>
      </c>
      <c r="Z120" s="71">
        <f>IF(kontonr&gt;2399,IF(kontonr&lt;2500,$N120),0)+IF(kontonr&gt;(Kontoplan!$P$4-1),IF(kontonr&lt;(Kontoplan!$P$4+600),$N120,0),0)</f>
        <v>0</v>
      </c>
      <c r="AA120" s="71">
        <f t="shared" si="21"/>
        <v>0</v>
      </c>
      <c r="AB120" s="71">
        <f t="shared" si="22"/>
        <v>0</v>
      </c>
      <c r="AC120" s="71">
        <f t="shared" si="23"/>
        <v>0</v>
      </c>
      <c r="AD120" s="71">
        <f t="shared" si="24"/>
        <v>0</v>
      </c>
      <c r="AE120" s="71">
        <f t="shared" si="25"/>
        <v>0</v>
      </c>
      <c r="AF120" s="306">
        <f t="shared" si="26"/>
        <v>0</v>
      </c>
      <c r="AG120" s="74">
        <f t="shared" si="27"/>
        <v>0</v>
      </c>
      <c r="AH120" s="71">
        <f t="shared" si="28"/>
        <v>0</v>
      </c>
      <c r="AI120" s="71">
        <f t="shared" si="29"/>
        <v>0</v>
      </c>
      <c r="AJ120" s="71">
        <f t="shared" si="85"/>
        <v>0</v>
      </c>
      <c r="AK120" s="71">
        <f t="shared" si="31"/>
        <v>0</v>
      </c>
      <c r="AL120" s="71">
        <f t="shared" si="32"/>
        <v>0</v>
      </c>
      <c r="AM120" s="71">
        <f t="shared" si="86"/>
        <v>0</v>
      </c>
      <c r="AN120" s="71">
        <f t="shared" si="87"/>
        <v>0</v>
      </c>
      <c r="AO120" s="71">
        <f t="shared" si="35"/>
        <v>0</v>
      </c>
      <c r="AP120" s="71">
        <f t="shared" si="36"/>
        <v>0</v>
      </c>
      <c r="AQ120" s="71">
        <f t="shared" si="37"/>
        <v>0</v>
      </c>
      <c r="AR120" s="71">
        <f t="shared" si="38"/>
        <v>0</v>
      </c>
      <c r="AS120" s="71">
        <f t="shared" si="39"/>
        <v>0</v>
      </c>
      <c r="AT120" s="71">
        <f t="shared" si="40"/>
        <v>0</v>
      </c>
      <c r="AU120" s="306">
        <f t="shared" si="41"/>
        <v>0</v>
      </c>
      <c r="AV120" s="71">
        <f t="shared" si="42"/>
        <v>0</v>
      </c>
      <c r="AW120" s="71">
        <f t="shared" si="43"/>
        <v>0</v>
      </c>
      <c r="AX120" s="71">
        <f t="shared" si="44"/>
        <v>0</v>
      </c>
      <c r="AY120" s="113">
        <f t="shared" si="88"/>
        <v>0</v>
      </c>
      <c r="AZ120" s="113">
        <f t="shared" si="80"/>
        <v>0</v>
      </c>
      <c r="BA120" s="113">
        <f t="shared" si="82"/>
        <v>0</v>
      </c>
      <c r="BB120" s="113">
        <f t="shared" si="82"/>
        <v>0</v>
      </c>
      <c r="BC120" s="113">
        <f t="shared" si="82"/>
        <v>0</v>
      </c>
      <c r="BD120" s="113">
        <f t="shared" si="82"/>
        <v>0</v>
      </c>
      <c r="BE120" s="113">
        <f t="shared" si="82"/>
        <v>0</v>
      </c>
      <c r="BF120" s="113">
        <f t="shared" si="82"/>
        <v>0</v>
      </c>
      <c r="BG120" s="113">
        <f t="shared" si="82"/>
        <v>0</v>
      </c>
      <c r="BH120" s="113">
        <f t="shared" si="82"/>
        <v>0</v>
      </c>
      <c r="BI120" s="113">
        <f t="shared" si="82"/>
        <v>0</v>
      </c>
      <c r="BJ120" s="113">
        <f t="shared" si="82"/>
        <v>0</v>
      </c>
      <c r="BK120" s="113">
        <f t="shared" si="82"/>
        <v>0</v>
      </c>
      <c r="BL120" s="113">
        <f t="shared" si="82"/>
        <v>0</v>
      </c>
      <c r="BM120" s="113">
        <f t="shared" si="82"/>
        <v>0</v>
      </c>
      <c r="BN120" s="113">
        <f t="shared" si="82"/>
        <v>0</v>
      </c>
      <c r="BO120" s="113">
        <f t="shared" si="82"/>
        <v>0</v>
      </c>
      <c r="BP120" s="113">
        <f t="shared" si="82"/>
        <v>0</v>
      </c>
      <c r="BQ120" s="113">
        <f t="shared" si="83"/>
        <v>0</v>
      </c>
      <c r="BR120" s="113">
        <f t="shared" si="83"/>
        <v>0</v>
      </c>
      <c r="BS120" s="113">
        <f t="shared" si="47"/>
        <v>0</v>
      </c>
      <c r="BT120" s="113">
        <f t="shared" si="48"/>
        <v>0</v>
      </c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08">
        <f t="shared" si="49"/>
      </c>
      <c r="CJ120" s="113"/>
      <c r="CK120" s="113"/>
      <c r="CL120" s="113"/>
      <c r="CM120" s="113"/>
    </row>
    <row r="121" spans="1:91" s="112" customFormat="1" ht="15">
      <c r="A121" s="103"/>
      <c r="B121" s="104"/>
      <c r="C121" s="115"/>
      <c r="D121" s="106"/>
      <c r="E121" s="107">
        <f t="shared" si="89"/>
      </c>
      <c r="F121" s="108">
        <f t="shared" si="8"/>
      </c>
      <c r="G121" s="109"/>
      <c r="H121" s="110"/>
      <c r="I121" s="486">
        <f t="shared" si="90"/>
        <v>0</v>
      </c>
      <c r="J121" s="486">
        <f t="shared" si="77"/>
        <v>0</v>
      </c>
      <c r="K121" s="486">
        <f t="shared" si="78"/>
        <v>0</v>
      </c>
      <c r="L121" s="111">
        <f t="shared" si="10"/>
        <v>0</v>
      </c>
      <c r="M121" s="176">
        <f t="shared" si="84"/>
        <v>0</v>
      </c>
      <c r="N121" s="177">
        <f t="shared" si="79"/>
        <v>0</v>
      </c>
      <c r="P121" s="306">
        <f t="shared" si="12"/>
        <v>0</v>
      </c>
      <c r="Q121" s="71">
        <f t="shared" si="13"/>
        <v>0</v>
      </c>
      <c r="R121" s="71">
        <f t="shared" si="14"/>
        <v>0</v>
      </c>
      <c r="S121" s="71">
        <f t="shared" si="15"/>
        <v>0</v>
      </c>
      <c r="T121" s="71">
        <f>IF(kontonr&gt;1499,IF(kontonr&lt;1560,$N121),0)+IF(kontonr&gt;(Kontoplan!P$3-1),IF(kontonr&lt;(Kontoplan!P$3+300),$N121,0),0)</f>
        <v>0</v>
      </c>
      <c r="U121" s="71">
        <f t="shared" si="16"/>
        <v>0</v>
      </c>
      <c r="V121" s="71">
        <f t="shared" si="17"/>
        <v>0</v>
      </c>
      <c r="W121" s="71">
        <f t="shared" si="18"/>
        <v>0</v>
      </c>
      <c r="X121" s="71">
        <f t="shared" si="19"/>
        <v>0</v>
      </c>
      <c r="Y121" s="71">
        <f t="shared" si="20"/>
        <v>0</v>
      </c>
      <c r="Z121" s="71">
        <f>IF(kontonr&gt;2399,IF(kontonr&lt;2500,$N121),0)+IF(kontonr&gt;(Kontoplan!$P$4-1),IF(kontonr&lt;(Kontoplan!$P$4+600),$N121,0),0)</f>
        <v>0</v>
      </c>
      <c r="AA121" s="71">
        <f t="shared" si="21"/>
        <v>0</v>
      </c>
      <c r="AB121" s="71">
        <f t="shared" si="22"/>
        <v>0</v>
      </c>
      <c r="AC121" s="71">
        <f t="shared" si="23"/>
        <v>0</v>
      </c>
      <c r="AD121" s="71">
        <f t="shared" si="24"/>
        <v>0</v>
      </c>
      <c r="AE121" s="71">
        <f t="shared" si="25"/>
        <v>0</v>
      </c>
      <c r="AF121" s="306">
        <f t="shared" si="26"/>
        <v>0</v>
      </c>
      <c r="AG121" s="74">
        <f t="shared" si="27"/>
        <v>0</v>
      </c>
      <c r="AH121" s="71">
        <f t="shared" si="28"/>
        <v>0</v>
      </c>
      <c r="AI121" s="71">
        <f t="shared" si="29"/>
        <v>0</v>
      </c>
      <c r="AJ121" s="71">
        <f t="shared" si="85"/>
        <v>0</v>
      </c>
      <c r="AK121" s="71">
        <f t="shared" si="31"/>
        <v>0</v>
      </c>
      <c r="AL121" s="71">
        <f t="shared" si="32"/>
        <v>0</v>
      </c>
      <c r="AM121" s="71">
        <f t="shared" si="86"/>
        <v>0</v>
      </c>
      <c r="AN121" s="71">
        <f t="shared" si="87"/>
        <v>0</v>
      </c>
      <c r="AO121" s="71">
        <f t="shared" si="35"/>
        <v>0</v>
      </c>
      <c r="AP121" s="71">
        <f t="shared" si="36"/>
        <v>0</v>
      </c>
      <c r="AQ121" s="71">
        <f t="shared" si="37"/>
        <v>0</v>
      </c>
      <c r="AR121" s="71">
        <f t="shared" si="38"/>
        <v>0</v>
      </c>
      <c r="AS121" s="71">
        <f t="shared" si="39"/>
        <v>0</v>
      </c>
      <c r="AT121" s="71">
        <f t="shared" si="40"/>
        <v>0</v>
      </c>
      <c r="AU121" s="306">
        <f t="shared" si="41"/>
        <v>0</v>
      </c>
      <c r="AV121" s="71">
        <f t="shared" si="42"/>
        <v>0</v>
      </c>
      <c r="AW121" s="71">
        <f t="shared" si="43"/>
        <v>0</v>
      </c>
      <c r="AX121" s="71">
        <f t="shared" si="44"/>
        <v>0</v>
      </c>
      <c r="AY121" s="113">
        <f t="shared" si="88"/>
        <v>0</v>
      </c>
      <c r="AZ121" s="113">
        <f t="shared" si="80"/>
        <v>0</v>
      </c>
      <c r="BA121" s="113">
        <f t="shared" si="82"/>
        <v>0</v>
      </c>
      <c r="BB121" s="113">
        <f t="shared" si="82"/>
        <v>0</v>
      </c>
      <c r="BC121" s="113">
        <f t="shared" si="82"/>
        <v>0</v>
      </c>
      <c r="BD121" s="113">
        <f t="shared" si="82"/>
        <v>0</v>
      </c>
      <c r="BE121" s="113">
        <f t="shared" si="82"/>
        <v>0</v>
      </c>
      <c r="BF121" s="113">
        <f t="shared" si="82"/>
        <v>0</v>
      </c>
      <c r="BG121" s="113">
        <f t="shared" si="82"/>
        <v>0</v>
      </c>
      <c r="BH121" s="113">
        <f t="shared" si="82"/>
        <v>0</v>
      </c>
      <c r="BI121" s="113">
        <f t="shared" si="82"/>
        <v>0</v>
      </c>
      <c r="BJ121" s="113">
        <f t="shared" si="82"/>
        <v>0</v>
      </c>
      <c r="BK121" s="113">
        <f t="shared" si="82"/>
        <v>0</v>
      </c>
      <c r="BL121" s="113">
        <f t="shared" si="82"/>
        <v>0</v>
      </c>
      <c r="BM121" s="113">
        <f t="shared" si="82"/>
        <v>0</v>
      </c>
      <c r="BN121" s="113">
        <f t="shared" si="82"/>
        <v>0</v>
      </c>
      <c r="BO121" s="113">
        <f t="shared" si="82"/>
        <v>0</v>
      </c>
      <c r="BP121" s="113">
        <f t="shared" si="82"/>
        <v>0</v>
      </c>
      <c r="BQ121" s="113">
        <f t="shared" si="83"/>
        <v>0</v>
      </c>
      <c r="BR121" s="113">
        <f t="shared" si="83"/>
        <v>0</v>
      </c>
      <c r="BS121" s="113">
        <f t="shared" si="47"/>
        <v>0</v>
      </c>
      <c r="BT121" s="113">
        <f t="shared" si="48"/>
        <v>0</v>
      </c>
      <c r="BU121" s="113"/>
      <c r="BV121" s="113"/>
      <c r="BW121" s="113"/>
      <c r="BX121" s="113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08">
        <f t="shared" si="49"/>
      </c>
      <c r="CJ121" s="113"/>
      <c r="CK121" s="113"/>
      <c r="CL121" s="113"/>
      <c r="CM121" s="113"/>
    </row>
    <row r="122" spans="1:91" s="112" customFormat="1" ht="15">
      <c r="A122" s="103"/>
      <c r="B122" s="104"/>
      <c r="C122" s="115"/>
      <c r="D122" s="106"/>
      <c r="E122" s="107">
        <f t="shared" si="89"/>
      </c>
      <c r="F122" s="108">
        <f t="shared" si="8"/>
      </c>
      <c r="G122" s="109"/>
      <c r="H122" s="110"/>
      <c r="I122" s="486">
        <f t="shared" si="90"/>
        <v>0</v>
      </c>
      <c r="J122" s="486">
        <f t="shared" si="77"/>
        <v>0</v>
      </c>
      <c r="K122" s="486">
        <f t="shared" si="78"/>
        <v>0</v>
      </c>
      <c r="L122" s="111">
        <f t="shared" si="10"/>
        <v>0</v>
      </c>
      <c r="M122" s="176">
        <f t="shared" si="84"/>
        <v>0</v>
      </c>
      <c r="N122" s="177">
        <f t="shared" si="79"/>
        <v>0</v>
      </c>
      <c r="P122" s="306">
        <f t="shared" si="12"/>
        <v>0</v>
      </c>
      <c r="Q122" s="71">
        <f t="shared" si="13"/>
        <v>0</v>
      </c>
      <c r="R122" s="71">
        <f t="shared" si="14"/>
        <v>0</v>
      </c>
      <c r="S122" s="71">
        <f t="shared" si="15"/>
        <v>0</v>
      </c>
      <c r="T122" s="71">
        <f>IF(kontonr&gt;1499,IF(kontonr&lt;1560,$N122),0)+IF(kontonr&gt;(Kontoplan!P$3-1),IF(kontonr&lt;(Kontoplan!P$3+300),$N122,0),0)</f>
        <v>0</v>
      </c>
      <c r="U122" s="71">
        <f t="shared" si="16"/>
        <v>0</v>
      </c>
      <c r="V122" s="71">
        <f t="shared" si="17"/>
        <v>0</v>
      </c>
      <c r="W122" s="71">
        <f t="shared" si="18"/>
        <v>0</v>
      </c>
      <c r="X122" s="71">
        <f t="shared" si="19"/>
        <v>0</v>
      </c>
      <c r="Y122" s="71">
        <f t="shared" si="20"/>
        <v>0</v>
      </c>
      <c r="Z122" s="71">
        <f>IF(kontonr&gt;2399,IF(kontonr&lt;2500,$N122),0)+IF(kontonr&gt;(Kontoplan!$P$4-1),IF(kontonr&lt;(Kontoplan!$P$4+600),$N122,0),0)</f>
        <v>0</v>
      </c>
      <c r="AA122" s="71">
        <f t="shared" si="21"/>
        <v>0</v>
      </c>
      <c r="AB122" s="71">
        <f t="shared" si="22"/>
        <v>0</v>
      </c>
      <c r="AC122" s="71">
        <f t="shared" si="23"/>
        <v>0</v>
      </c>
      <c r="AD122" s="71">
        <f t="shared" si="24"/>
        <v>0</v>
      </c>
      <c r="AE122" s="71">
        <f t="shared" si="25"/>
        <v>0</v>
      </c>
      <c r="AF122" s="306">
        <f t="shared" si="26"/>
        <v>0</v>
      </c>
      <c r="AG122" s="74">
        <f t="shared" si="27"/>
        <v>0</v>
      </c>
      <c r="AH122" s="71">
        <f t="shared" si="28"/>
        <v>0</v>
      </c>
      <c r="AI122" s="71">
        <f t="shared" si="29"/>
        <v>0</v>
      </c>
      <c r="AJ122" s="71">
        <f t="shared" si="85"/>
        <v>0</v>
      </c>
      <c r="AK122" s="71">
        <f t="shared" si="31"/>
        <v>0</v>
      </c>
      <c r="AL122" s="71">
        <f t="shared" si="32"/>
        <v>0</v>
      </c>
      <c r="AM122" s="71">
        <f t="shared" si="86"/>
        <v>0</v>
      </c>
      <c r="AN122" s="71">
        <f t="shared" si="87"/>
        <v>0</v>
      </c>
      <c r="AO122" s="71">
        <f t="shared" si="35"/>
        <v>0</v>
      </c>
      <c r="AP122" s="71">
        <f t="shared" si="36"/>
        <v>0</v>
      </c>
      <c r="AQ122" s="71">
        <f t="shared" si="37"/>
        <v>0</v>
      </c>
      <c r="AR122" s="71">
        <f t="shared" si="38"/>
        <v>0</v>
      </c>
      <c r="AS122" s="71">
        <f t="shared" si="39"/>
        <v>0</v>
      </c>
      <c r="AT122" s="71">
        <f t="shared" si="40"/>
        <v>0</v>
      </c>
      <c r="AU122" s="306">
        <f t="shared" si="41"/>
        <v>0</v>
      </c>
      <c r="AV122" s="71">
        <f t="shared" si="42"/>
        <v>0</v>
      </c>
      <c r="AW122" s="71">
        <f t="shared" si="43"/>
        <v>0</v>
      </c>
      <c r="AX122" s="71">
        <f t="shared" si="44"/>
        <v>0</v>
      </c>
      <c r="AY122" s="113">
        <f t="shared" si="88"/>
        <v>0</v>
      </c>
      <c r="AZ122" s="113">
        <f t="shared" si="80"/>
        <v>0</v>
      </c>
      <c r="BA122" s="113">
        <f t="shared" si="82"/>
        <v>0</v>
      </c>
      <c r="BB122" s="113">
        <f t="shared" si="82"/>
        <v>0</v>
      </c>
      <c r="BC122" s="113">
        <f t="shared" si="82"/>
        <v>0</v>
      </c>
      <c r="BD122" s="113">
        <f t="shared" si="82"/>
        <v>0</v>
      </c>
      <c r="BE122" s="113">
        <f t="shared" si="82"/>
        <v>0</v>
      </c>
      <c r="BF122" s="113">
        <f t="shared" si="82"/>
        <v>0</v>
      </c>
      <c r="BG122" s="113">
        <f t="shared" si="82"/>
        <v>0</v>
      </c>
      <c r="BH122" s="113">
        <f t="shared" si="82"/>
        <v>0</v>
      </c>
      <c r="BI122" s="113">
        <f t="shared" si="82"/>
        <v>0</v>
      </c>
      <c r="BJ122" s="113">
        <f t="shared" si="82"/>
        <v>0</v>
      </c>
      <c r="BK122" s="113">
        <f t="shared" si="82"/>
        <v>0</v>
      </c>
      <c r="BL122" s="113">
        <f t="shared" si="82"/>
        <v>0</v>
      </c>
      <c r="BM122" s="113">
        <f t="shared" si="82"/>
        <v>0</v>
      </c>
      <c r="BN122" s="113">
        <f t="shared" si="82"/>
        <v>0</v>
      </c>
      <c r="BO122" s="113">
        <f t="shared" si="82"/>
        <v>0</v>
      </c>
      <c r="BP122" s="113">
        <f t="shared" si="82"/>
        <v>0</v>
      </c>
      <c r="BQ122" s="113">
        <f t="shared" si="83"/>
        <v>0</v>
      </c>
      <c r="BR122" s="113">
        <f t="shared" si="83"/>
        <v>0</v>
      </c>
      <c r="BS122" s="113">
        <f t="shared" si="47"/>
        <v>0</v>
      </c>
      <c r="BT122" s="113">
        <f t="shared" si="48"/>
        <v>0</v>
      </c>
      <c r="BU122" s="113"/>
      <c r="BV122" s="113"/>
      <c r="BW122" s="113"/>
      <c r="BX122" s="113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08">
        <f t="shared" si="49"/>
      </c>
      <c r="CJ122" s="113"/>
      <c r="CK122" s="113"/>
      <c r="CL122" s="113"/>
      <c r="CM122" s="113"/>
    </row>
    <row r="123" spans="1:91" s="112" customFormat="1" ht="15">
      <c r="A123" s="103"/>
      <c r="B123" s="104"/>
      <c r="C123" s="115"/>
      <c r="D123" s="106"/>
      <c r="E123" s="107">
        <f t="shared" si="89"/>
      </c>
      <c r="F123" s="108">
        <f t="shared" si="8"/>
      </c>
      <c r="G123" s="109"/>
      <c r="H123" s="110"/>
      <c r="I123" s="486">
        <f t="shared" si="90"/>
        <v>0</v>
      </c>
      <c r="J123" s="486">
        <f t="shared" si="77"/>
        <v>0</v>
      </c>
      <c r="K123" s="486">
        <f t="shared" si="78"/>
        <v>0</v>
      </c>
      <c r="L123" s="111">
        <f t="shared" si="10"/>
        <v>0</v>
      </c>
      <c r="M123" s="176">
        <f t="shared" si="84"/>
        <v>0</v>
      </c>
      <c r="N123" s="177">
        <f t="shared" si="79"/>
        <v>0</v>
      </c>
      <c r="P123" s="306">
        <f t="shared" si="12"/>
        <v>0</v>
      </c>
      <c r="Q123" s="71">
        <f t="shared" si="13"/>
        <v>0</v>
      </c>
      <c r="R123" s="71">
        <f t="shared" si="14"/>
        <v>0</v>
      </c>
      <c r="S123" s="71">
        <f t="shared" si="15"/>
        <v>0</v>
      </c>
      <c r="T123" s="71">
        <f>IF(kontonr&gt;1499,IF(kontonr&lt;1560,$N123),0)+IF(kontonr&gt;(Kontoplan!P$3-1),IF(kontonr&lt;(Kontoplan!P$3+300),$N123,0),0)</f>
        <v>0</v>
      </c>
      <c r="U123" s="71">
        <f t="shared" si="16"/>
        <v>0</v>
      </c>
      <c r="V123" s="71">
        <f t="shared" si="17"/>
        <v>0</v>
      </c>
      <c r="W123" s="71">
        <f t="shared" si="18"/>
        <v>0</v>
      </c>
      <c r="X123" s="71">
        <f t="shared" si="19"/>
        <v>0</v>
      </c>
      <c r="Y123" s="71">
        <f t="shared" si="20"/>
        <v>0</v>
      </c>
      <c r="Z123" s="71">
        <f>IF(kontonr&gt;2399,IF(kontonr&lt;2500,$N123),0)+IF(kontonr&gt;(Kontoplan!$P$4-1),IF(kontonr&lt;(Kontoplan!$P$4+600),$N123,0),0)</f>
        <v>0</v>
      </c>
      <c r="AA123" s="71">
        <f t="shared" si="21"/>
        <v>0</v>
      </c>
      <c r="AB123" s="71">
        <f t="shared" si="22"/>
        <v>0</v>
      </c>
      <c r="AC123" s="71">
        <f t="shared" si="23"/>
        <v>0</v>
      </c>
      <c r="AD123" s="71">
        <f t="shared" si="24"/>
        <v>0</v>
      </c>
      <c r="AE123" s="71">
        <f t="shared" si="25"/>
        <v>0</v>
      </c>
      <c r="AF123" s="306">
        <f t="shared" si="26"/>
        <v>0</v>
      </c>
      <c r="AG123" s="74">
        <f t="shared" si="27"/>
        <v>0</v>
      </c>
      <c r="AH123" s="71">
        <f t="shared" si="28"/>
        <v>0</v>
      </c>
      <c r="AI123" s="71">
        <f t="shared" si="29"/>
        <v>0</v>
      </c>
      <c r="AJ123" s="71">
        <f t="shared" si="85"/>
        <v>0</v>
      </c>
      <c r="AK123" s="71">
        <f t="shared" si="31"/>
        <v>0</v>
      </c>
      <c r="AL123" s="71">
        <f t="shared" si="32"/>
        <v>0</v>
      </c>
      <c r="AM123" s="71">
        <f t="shared" si="86"/>
        <v>0</v>
      </c>
      <c r="AN123" s="71">
        <f t="shared" si="87"/>
        <v>0</v>
      </c>
      <c r="AO123" s="71">
        <f t="shared" si="35"/>
        <v>0</v>
      </c>
      <c r="AP123" s="71">
        <f t="shared" si="36"/>
        <v>0</v>
      </c>
      <c r="AQ123" s="71">
        <f t="shared" si="37"/>
        <v>0</v>
      </c>
      <c r="AR123" s="71">
        <f t="shared" si="38"/>
        <v>0</v>
      </c>
      <c r="AS123" s="71">
        <f t="shared" si="39"/>
        <v>0</v>
      </c>
      <c r="AT123" s="71">
        <f t="shared" si="40"/>
        <v>0</v>
      </c>
      <c r="AU123" s="306">
        <f t="shared" si="41"/>
        <v>0</v>
      </c>
      <c r="AV123" s="71">
        <f t="shared" si="42"/>
        <v>0</v>
      </c>
      <c r="AW123" s="71">
        <f t="shared" si="43"/>
        <v>0</v>
      </c>
      <c r="AX123" s="71">
        <f t="shared" si="44"/>
        <v>0</v>
      </c>
      <c r="AY123" s="113">
        <f t="shared" si="88"/>
        <v>0</v>
      </c>
      <c r="AZ123" s="113">
        <f t="shared" si="80"/>
        <v>0</v>
      </c>
      <c r="BA123" s="113">
        <f t="shared" si="82"/>
        <v>0</v>
      </c>
      <c r="BB123" s="113">
        <f t="shared" si="82"/>
        <v>0</v>
      </c>
      <c r="BC123" s="113">
        <f t="shared" si="82"/>
        <v>0</v>
      </c>
      <c r="BD123" s="113">
        <f t="shared" si="82"/>
        <v>0</v>
      </c>
      <c r="BE123" s="113">
        <f t="shared" si="82"/>
        <v>0</v>
      </c>
      <c r="BF123" s="113">
        <f t="shared" si="82"/>
        <v>0</v>
      </c>
      <c r="BG123" s="113">
        <f t="shared" si="82"/>
        <v>0</v>
      </c>
      <c r="BH123" s="113">
        <f t="shared" si="82"/>
        <v>0</v>
      </c>
      <c r="BI123" s="113">
        <f t="shared" si="82"/>
        <v>0</v>
      </c>
      <c r="BJ123" s="113">
        <f t="shared" si="82"/>
        <v>0</v>
      </c>
      <c r="BK123" s="113">
        <f t="shared" si="82"/>
        <v>0</v>
      </c>
      <c r="BL123" s="113">
        <f t="shared" si="82"/>
        <v>0</v>
      </c>
      <c r="BM123" s="113">
        <f t="shared" si="82"/>
        <v>0</v>
      </c>
      <c r="BN123" s="113">
        <f t="shared" si="82"/>
        <v>0</v>
      </c>
      <c r="BO123" s="113">
        <f t="shared" si="82"/>
        <v>0</v>
      </c>
      <c r="BP123" s="113">
        <f t="shared" si="82"/>
        <v>0</v>
      </c>
      <c r="BQ123" s="113">
        <f t="shared" si="83"/>
        <v>0</v>
      </c>
      <c r="BR123" s="113">
        <f t="shared" si="83"/>
        <v>0</v>
      </c>
      <c r="BS123" s="113">
        <f t="shared" si="47"/>
        <v>0</v>
      </c>
      <c r="BT123" s="113">
        <f t="shared" si="48"/>
        <v>0</v>
      </c>
      <c r="BU123" s="113"/>
      <c r="BV123" s="113"/>
      <c r="BW123" s="113"/>
      <c r="BX123" s="113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08">
        <f t="shared" si="49"/>
      </c>
      <c r="CJ123" s="113"/>
      <c r="CK123" s="113"/>
      <c r="CL123" s="113"/>
      <c r="CM123" s="113"/>
    </row>
    <row r="124" spans="1:91" s="112" customFormat="1" ht="15">
      <c r="A124" s="103"/>
      <c r="B124" s="104"/>
      <c r="C124" s="115"/>
      <c r="D124" s="106"/>
      <c r="E124" s="107">
        <f t="shared" si="89"/>
      </c>
      <c r="F124" s="108">
        <f t="shared" si="8"/>
      </c>
      <c r="G124" s="109"/>
      <c r="H124" s="110"/>
      <c r="I124" s="486">
        <f t="shared" si="90"/>
        <v>0</v>
      </c>
      <c r="J124" s="486">
        <f t="shared" si="77"/>
        <v>0</v>
      </c>
      <c r="K124" s="486">
        <f t="shared" si="78"/>
        <v>0</v>
      </c>
      <c r="L124" s="111">
        <f t="shared" si="10"/>
        <v>0</v>
      </c>
      <c r="M124" s="176">
        <f t="shared" si="84"/>
        <v>0</v>
      </c>
      <c r="N124" s="177">
        <f t="shared" si="79"/>
        <v>0</v>
      </c>
      <c r="P124" s="306">
        <f t="shared" si="12"/>
        <v>0</v>
      </c>
      <c r="Q124" s="71">
        <f t="shared" si="13"/>
        <v>0</v>
      </c>
      <c r="R124" s="71">
        <f t="shared" si="14"/>
        <v>0</v>
      </c>
      <c r="S124" s="71">
        <f t="shared" si="15"/>
        <v>0</v>
      </c>
      <c r="T124" s="71">
        <f>IF(kontonr&gt;1499,IF(kontonr&lt;1560,$N124),0)+IF(kontonr&gt;(Kontoplan!P$3-1),IF(kontonr&lt;(Kontoplan!P$3+300),$N124,0),0)</f>
        <v>0</v>
      </c>
      <c r="U124" s="71">
        <f t="shared" si="16"/>
        <v>0</v>
      </c>
      <c r="V124" s="71">
        <f t="shared" si="17"/>
        <v>0</v>
      </c>
      <c r="W124" s="71">
        <f t="shared" si="18"/>
        <v>0</v>
      </c>
      <c r="X124" s="71">
        <f t="shared" si="19"/>
        <v>0</v>
      </c>
      <c r="Y124" s="71">
        <f t="shared" si="20"/>
        <v>0</v>
      </c>
      <c r="Z124" s="71">
        <f>IF(kontonr&gt;2399,IF(kontonr&lt;2500,$N124),0)+IF(kontonr&gt;(Kontoplan!$P$4-1),IF(kontonr&lt;(Kontoplan!$P$4+600),$N124,0),0)</f>
        <v>0</v>
      </c>
      <c r="AA124" s="71">
        <f t="shared" si="21"/>
        <v>0</v>
      </c>
      <c r="AB124" s="71">
        <f t="shared" si="22"/>
        <v>0</v>
      </c>
      <c r="AC124" s="71">
        <f t="shared" si="23"/>
        <v>0</v>
      </c>
      <c r="AD124" s="71">
        <f t="shared" si="24"/>
        <v>0</v>
      </c>
      <c r="AE124" s="71">
        <f t="shared" si="25"/>
        <v>0</v>
      </c>
      <c r="AF124" s="306">
        <f t="shared" si="26"/>
        <v>0</v>
      </c>
      <c r="AG124" s="74">
        <f t="shared" si="27"/>
        <v>0</v>
      </c>
      <c r="AH124" s="71">
        <f t="shared" si="28"/>
        <v>0</v>
      </c>
      <c r="AI124" s="71">
        <f t="shared" si="29"/>
        <v>0</v>
      </c>
      <c r="AJ124" s="71">
        <f t="shared" si="85"/>
        <v>0</v>
      </c>
      <c r="AK124" s="71">
        <f t="shared" si="31"/>
        <v>0</v>
      </c>
      <c r="AL124" s="71">
        <f t="shared" si="32"/>
        <v>0</v>
      </c>
      <c r="AM124" s="71">
        <f t="shared" si="86"/>
        <v>0</v>
      </c>
      <c r="AN124" s="71">
        <f t="shared" si="87"/>
        <v>0</v>
      </c>
      <c r="AO124" s="71">
        <f t="shared" si="35"/>
        <v>0</v>
      </c>
      <c r="AP124" s="71">
        <f t="shared" si="36"/>
        <v>0</v>
      </c>
      <c r="AQ124" s="71">
        <f t="shared" si="37"/>
        <v>0</v>
      </c>
      <c r="AR124" s="71">
        <f t="shared" si="38"/>
        <v>0</v>
      </c>
      <c r="AS124" s="71">
        <f t="shared" si="39"/>
        <v>0</v>
      </c>
      <c r="AT124" s="71">
        <f t="shared" si="40"/>
        <v>0</v>
      </c>
      <c r="AU124" s="306">
        <f t="shared" si="41"/>
        <v>0</v>
      </c>
      <c r="AV124" s="71">
        <f t="shared" si="42"/>
        <v>0</v>
      </c>
      <c r="AW124" s="71">
        <f t="shared" si="43"/>
        <v>0</v>
      </c>
      <c r="AX124" s="71">
        <f t="shared" si="44"/>
        <v>0</v>
      </c>
      <c r="AY124" s="113">
        <f t="shared" si="88"/>
        <v>0</v>
      </c>
      <c r="AZ124" s="113">
        <f t="shared" si="80"/>
        <v>0</v>
      </c>
      <c r="BA124" s="113">
        <f t="shared" si="82"/>
        <v>0</v>
      </c>
      <c r="BB124" s="113">
        <f t="shared" si="82"/>
        <v>0</v>
      </c>
      <c r="BC124" s="113">
        <f t="shared" si="82"/>
        <v>0</v>
      </c>
      <c r="BD124" s="113">
        <f t="shared" si="82"/>
        <v>0</v>
      </c>
      <c r="BE124" s="113">
        <f t="shared" si="82"/>
        <v>0</v>
      </c>
      <c r="BF124" s="113">
        <f t="shared" si="82"/>
        <v>0</v>
      </c>
      <c r="BG124" s="113">
        <f t="shared" si="82"/>
        <v>0</v>
      </c>
      <c r="BH124" s="113">
        <f t="shared" si="82"/>
        <v>0</v>
      </c>
      <c r="BI124" s="113">
        <f t="shared" si="82"/>
        <v>0</v>
      </c>
      <c r="BJ124" s="113">
        <f t="shared" si="82"/>
        <v>0</v>
      </c>
      <c r="BK124" s="113">
        <f t="shared" si="82"/>
        <v>0</v>
      </c>
      <c r="BL124" s="113">
        <f t="shared" si="82"/>
        <v>0</v>
      </c>
      <c r="BM124" s="113">
        <f t="shared" si="82"/>
        <v>0</v>
      </c>
      <c r="BN124" s="113">
        <f t="shared" si="82"/>
        <v>0</v>
      </c>
      <c r="BO124" s="113">
        <f t="shared" si="82"/>
        <v>0</v>
      </c>
      <c r="BP124" s="113">
        <f t="shared" si="82"/>
        <v>0</v>
      </c>
      <c r="BQ124" s="113">
        <f t="shared" si="83"/>
        <v>0</v>
      </c>
      <c r="BR124" s="113">
        <f t="shared" si="83"/>
        <v>0</v>
      </c>
      <c r="BS124" s="113">
        <f t="shared" si="47"/>
        <v>0</v>
      </c>
      <c r="BT124" s="113">
        <f t="shared" si="48"/>
        <v>0</v>
      </c>
      <c r="BU124" s="113"/>
      <c r="BV124" s="113"/>
      <c r="BW124" s="113"/>
      <c r="BX124" s="113"/>
      <c r="BY124" s="113"/>
      <c r="BZ124" s="113"/>
      <c r="CA124" s="113"/>
      <c r="CB124" s="113"/>
      <c r="CC124" s="113"/>
      <c r="CD124" s="113"/>
      <c r="CE124" s="113"/>
      <c r="CF124" s="113"/>
      <c r="CG124" s="113"/>
      <c r="CH124" s="113"/>
      <c r="CI124" s="108">
        <f t="shared" si="49"/>
      </c>
      <c r="CJ124" s="113"/>
      <c r="CK124" s="113"/>
      <c r="CL124" s="113"/>
      <c r="CM124" s="113"/>
    </row>
    <row r="125" spans="1:91" s="112" customFormat="1" ht="15">
      <c r="A125" s="103"/>
      <c r="B125" s="104"/>
      <c r="C125" s="115"/>
      <c r="D125" s="106"/>
      <c r="E125" s="107">
        <f t="shared" si="89"/>
      </c>
      <c r="F125" s="108">
        <f t="shared" si="8"/>
      </c>
      <c r="G125" s="109"/>
      <c r="H125" s="110"/>
      <c r="I125" s="486">
        <f t="shared" si="90"/>
        <v>0</v>
      </c>
      <c r="J125" s="486">
        <f t="shared" si="77"/>
        <v>0</v>
      </c>
      <c r="K125" s="486">
        <f t="shared" si="78"/>
        <v>0</v>
      </c>
      <c r="L125" s="111">
        <f t="shared" si="10"/>
        <v>0</v>
      </c>
      <c r="M125" s="176">
        <f t="shared" si="84"/>
        <v>0</v>
      </c>
      <c r="N125" s="177">
        <f t="shared" si="79"/>
        <v>0</v>
      </c>
      <c r="P125" s="306">
        <f t="shared" si="12"/>
        <v>0</v>
      </c>
      <c r="Q125" s="71">
        <f t="shared" si="13"/>
        <v>0</v>
      </c>
      <c r="R125" s="71">
        <f t="shared" si="14"/>
        <v>0</v>
      </c>
      <c r="S125" s="71">
        <f t="shared" si="15"/>
        <v>0</v>
      </c>
      <c r="T125" s="71">
        <f>IF(kontonr&gt;1499,IF(kontonr&lt;1560,$N125),0)+IF(kontonr&gt;(Kontoplan!P$3-1),IF(kontonr&lt;(Kontoplan!P$3+300),$N125,0),0)</f>
        <v>0</v>
      </c>
      <c r="U125" s="71">
        <f t="shared" si="16"/>
        <v>0</v>
      </c>
      <c r="V125" s="71">
        <f t="shared" si="17"/>
        <v>0</v>
      </c>
      <c r="W125" s="71">
        <f t="shared" si="18"/>
        <v>0</v>
      </c>
      <c r="X125" s="71">
        <f t="shared" si="19"/>
        <v>0</v>
      </c>
      <c r="Y125" s="71">
        <f t="shared" si="20"/>
        <v>0</v>
      </c>
      <c r="Z125" s="71">
        <f>IF(kontonr&gt;2399,IF(kontonr&lt;2500,$N125),0)+IF(kontonr&gt;(Kontoplan!$P$4-1),IF(kontonr&lt;(Kontoplan!$P$4+600),$N125,0),0)</f>
        <v>0</v>
      </c>
      <c r="AA125" s="71">
        <f t="shared" si="21"/>
        <v>0</v>
      </c>
      <c r="AB125" s="71">
        <f t="shared" si="22"/>
        <v>0</v>
      </c>
      <c r="AC125" s="71">
        <f t="shared" si="23"/>
        <v>0</v>
      </c>
      <c r="AD125" s="71">
        <f t="shared" si="24"/>
        <v>0</v>
      </c>
      <c r="AE125" s="71">
        <f t="shared" si="25"/>
        <v>0</v>
      </c>
      <c r="AF125" s="306">
        <f t="shared" si="26"/>
        <v>0</v>
      </c>
      <c r="AG125" s="74">
        <f t="shared" si="27"/>
        <v>0</v>
      </c>
      <c r="AH125" s="71">
        <f t="shared" si="28"/>
        <v>0</v>
      </c>
      <c r="AI125" s="71">
        <f t="shared" si="29"/>
        <v>0</v>
      </c>
      <c r="AJ125" s="71">
        <f t="shared" si="85"/>
        <v>0</v>
      </c>
      <c r="AK125" s="71">
        <f t="shared" si="31"/>
        <v>0</v>
      </c>
      <c r="AL125" s="71">
        <f t="shared" si="32"/>
        <v>0</v>
      </c>
      <c r="AM125" s="71">
        <f t="shared" si="86"/>
        <v>0</v>
      </c>
      <c r="AN125" s="71">
        <f t="shared" si="87"/>
        <v>0</v>
      </c>
      <c r="AO125" s="71">
        <f t="shared" si="35"/>
        <v>0</v>
      </c>
      <c r="AP125" s="71">
        <f t="shared" si="36"/>
        <v>0</v>
      </c>
      <c r="AQ125" s="71">
        <f t="shared" si="37"/>
        <v>0</v>
      </c>
      <c r="AR125" s="71">
        <f t="shared" si="38"/>
        <v>0</v>
      </c>
      <c r="AS125" s="71">
        <f t="shared" si="39"/>
        <v>0</v>
      </c>
      <c r="AT125" s="71">
        <f t="shared" si="40"/>
        <v>0</v>
      </c>
      <c r="AU125" s="306">
        <f t="shared" si="41"/>
        <v>0</v>
      </c>
      <c r="AV125" s="71">
        <f t="shared" si="42"/>
        <v>0</v>
      </c>
      <c r="AW125" s="71">
        <f t="shared" si="43"/>
        <v>0</v>
      </c>
      <c r="AX125" s="71">
        <f t="shared" si="44"/>
        <v>0</v>
      </c>
      <c r="AY125" s="113">
        <f t="shared" si="88"/>
        <v>0</v>
      </c>
      <c r="AZ125" s="113">
        <f t="shared" si="80"/>
        <v>0</v>
      </c>
      <c r="BA125" s="113">
        <f aca="true" t="shared" si="91" ref="BA125:BO125">IF(kontonr=BA$5,$N125,0)</f>
        <v>0</v>
      </c>
      <c r="BB125" s="113">
        <f t="shared" si="91"/>
        <v>0</v>
      </c>
      <c r="BC125" s="113">
        <f t="shared" si="91"/>
        <v>0</v>
      </c>
      <c r="BD125" s="113">
        <f t="shared" si="91"/>
        <v>0</v>
      </c>
      <c r="BE125" s="113">
        <f t="shared" si="91"/>
        <v>0</v>
      </c>
      <c r="BF125" s="113">
        <f t="shared" si="91"/>
        <v>0</v>
      </c>
      <c r="BG125" s="113">
        <f t="shared" si="91"/>
        <v>0</v>
      </c>
      <c r="BH125" s="113">
        <f t="shared" si="91"/>
        <v>0</v>
      </c>
      <c r="BI125" s="113">
        <f t="shared" si="91"/>
        <v>0</v>
      </c>
      <c r="BJ125" s="113">
        <f t="shared" si="91"/>
        <v>0</v>
      </c>
      <c r="BK125" s="113">
        <f t="shared" si="91"/>
        <v>0</v>
      </c>
      <c r="BL125" s="113">
        <f t="shared" si="91"/>
        <v>0</v>
      </c>
      <c r="BM125" s="113">
        <f t="shared" si="91"/>
        <v>0</v>
      </c>
      <c r="BN125" s="113">
        <f t="shared" si="91"/>
        <v>0</v>
      </c>
      <c r="BO125" s="113">
        <f t="shared" si="91"/>
        <v>0</v>
      </c>
      <c r="BP125" s="113">
        <f aca="true" t="shared" si="92" ref="BA125:BP137">IF(kontonr=BP$5,$N125,0)</f>
        <v>0</v>
      </c>
      <c r="BQ125" s="113">
        <f t="shared" si="83"/>
        <v>0</v>
      </c>
      <c r="BR125" s="113">
        <f t="shared" si="83"/>
        <v>0</v>
      </c>
      <c r="BS125" s="113">
        <f t="shared" si="47"/>
        <v>0</v>
      </c>
      <c r="BT125" s="113">
        <f t="shared" si="48"/>
        <v>0</v>
      </c>
      <c r="BU125" s="113"/>
      <c r="BV125" s="113"/>
      <c r="BW125" s="113"/>
      <c r="BX125" s="113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08">
        <f t="shared" si="49"/>
      </c>
      <c r="CJ125" s="113"/>
      <c r="CK125" s="113"/>
      <c r="CL125" s="113"/>
      <c r="CM125" s="113"/>
    </row>
    <row r="126" spans="1:91" s="112" customFormat="1" ht="15">
      <c r="A126" s="103"/>
      <c r="B126" s="104"/>
      <c r="C126" s="115"/>
      <c r="D126" s="106"/>
      <c r="E126" s="107">
        <f t="shared" si="89"/>
      </c>
      <c r="F126" s="108">
        <f t="shared" si="8"/>
      </c>
      <c r="G126" s="109"/>
      <c r="H126" s="110"/>
      <c r="I126" s="486">
        <f t="shared" si="90"/>
        <v>0</v>
      </c>
      <c r="J126" s="486">
        <f t="shared" si="77"/>
        <v>0</v>
      </c>
      <c r="K126" s="486">
        <f t="shared" si="78"/>
        <v>0</v>
      </c>
      <c r="L126" s="111">
        <f t="shared" si="10"/>
        <v>0</v>
      </c>
      <c r="M126" s="176">
        <f t="shared" si="84"/>
        <v>0</v>
      </c>
      <c r="N126" s="177">
        <f t="shared" si="79"/>
        <v>0</v>
      </c>
      <c r="P126" s="306">
        <f t="shared" si="12"/>
        <v>0</v>
      </c>
      <c r="Q126" s="71">
        <f t="shared" si="13"/>
        <v>0</v>
      </c>
      <c r="R126" s="71">
        <f t="shared" si="14"/>
        <v>0</v>
      </c>
      <c r="S126" s="71">
        <f t="shared" si="15"/>
        <v>0</v>
      </c>
      <c r="T126" s="71">
        <f>IF(kontonr&gt;1499,IF(kontonr&lt;1560,$N126),0)+IF(kontonr&gt;(Kontoplan!P$3-1),IF(kontonr&lt;(Kontoplan!P$3+300),$N126,0),0)</f>
        <v>0</v>
      </c>
      <c r="U126" s="71">
        <f t="shared" si="16"/>
        <v>0</v>
      </c>
      <c r="V126" s="71">
        <f t="shared" si="17"/>
        <v>0</v>
      </c>
      <c r="W126" s="71">
        <f t="shared" si="18"/>
        <v>0</v>
      </c>
      <c r="X126" s="71">
        <f t="shared" si="19"/>
        <v>0</v>
      </c>
      <c r="Y126" s="71">
        <f t="shared" si="20"/>
        <v>0</v>
      </c>
      <c r="Z126" s="71">
        <f>IF(kontonr&gt;2399,IF(kontonr&lt;2500,$N126),0)+IF(kontonr&gt;(Kontoplan!$P$4-1),IF(kontonr&lt;(Kontoplan!$P$4+600),$N126,0),0)</f>
        <v>0</v>
      </c>
      <c r="AA126" s="71">
        <f t="shared" si="21"/>
        <v>0</v>
      </c>
      <c r="AB126" s="71">
        <f t="shared" si="22"/>
        <v>0</v>
      </c>
      <c r="AC126" s="71">
        <f t="shared" si="23"/>
        <v>0</v>
      </c>
      <c r="AD126" s="71">
        <f t="shared" si="24"/>
        <v>0</v>
      </c>
      <c r="AE126" s="71">
        <f t="shared" si="25"/>
        <v>0</v>
      </c>
      <c r="AF126" s="306">
        <f t="shared" si="26"/>
        <v>0</v>
      </c>
      <c r="AG126" s="74">
        <f t="shared" si="27"/>
        <v>0</v>
      </c>
      <c r="AH126" s="71">
        <f t="shared" si="28"/>
        <v>0</v>
      </c>
      <c r="AI126" s="71">
        <f t="shared" si="29"/>
        <v>0</v>
      </c>
      <c r="AJ126" s="71">
        <f t="shared" si="85"/>
        <v>0</v>
      </c>
      <c r="AK126" s="71">
        <f t="shared" si="31"/>
        <v>0</v>
      </c>
      <c r="AL126" s="71">
        <f t="shared" si="32"/>
        <v>0</v>
      </c>
      <c r="AM126" s="71">
        <f t="shared" si="86"/>
        <v>0</v>
      </c>
      <c r="AN126" s="71">
        <f t="shared" si="87"/>
        <v>0</v>
      </c>
      <c r="AO126" s="71">
        <f t="shared" si="35"/>
        <v>0</v>
      </c>
      <c r="AP126" s="71">
        <f t="shared" si="36"/>
        <v>0</v>
      </c>
      <c r="AQ126" s="71">
        <f t="shared" si="37"/>
        <v>0</v>
      </c>
      <c r="AR126" s="71">
        <f t="shared" si="38"/>
        <v>0</v>
      </c>
      <c r="AS126" s="71">
        <f t="shared" si="39"/>
        <v>0</v>
      </c>
      <c r="AT126" s="71">
        <f t="shared" si="40"/>
        <v>0</v>
      </c>
      <c r="AU126" s="306">
        <f t="shared" si="41"/>
        <v>0</v>
      </c>
      <c r="AV126" s="71">
        <f t="shared" si="42"/>
        <v>0</v>
      </c>
      <c r="AW126" s="71">
        <f t="shared" si="43"/>
        <v>0</v>
      </c>
      <c r="AX126" s="71">
        <f t="shared" si="44"/>
        <v>0</v>
      </c>
      <c r="AY126" s="113">
        <f t="shared" si="88"/>
        <v>0</v>
      </c>
      <c r="AZ126" s="113">
        <f t="shared" si="80"/>
        <v>0</v>
      </c>
      <c r="BA126" s="113">
        <f t="shared" si="92"/>
        <v>0</v>
      </c>
      <c r="BB126" s="113">
        <f t="shared" si="92"/>
        <v>0</v>
      </c>
      <c r="BC126" s="113">
        <f t="shared" si="92"/>
        <v>0</v>
      </c>
      <c r="BD126" s="113">
        <f t="shared" si="92"/>
        <v>0</v>
      </c>
      <c r="BE126" s="113">
        <f t="shared" si="92"/>
        <v>0</v>
      </c>
      <c r="BF126" s="113">
        <f t="shared" si="92"/>
        <v>0</v>
      </c>
      <c r="BG126" s="113">
        <f t="shared" si="92"/>
        <v>0</v>
      </c>
      <c r="BH126" s="113">
        <f t="shared" si="92"/>
        <v>0</v>
      </c>
      <c r="BI126" s="113">
        <f t="shared" si="92"/>
        <v>0</v>
      </c>
      <c r="BJ126" s="113">
        <f t="shared" si="92"/>
        <v>0</v>
      </c>
      <c r="BK126" s="113">
        <f t="shared" si="92"/>
        <v>0</v>
      </c>
      <c r="BL126" s="113">
        <f t="shared" si="92"/>
        <v>0</v>
      </c>
      <c r="BM126" s="113">
        <f t="shared" si="92"/>
        <v>0</v>
      </c>
      <c r="BN126" s="113">
        <f t="shared" si="92"/>
        <v>0</v>
      </c>
      <c r="BO126" s="113">
        <f t="shared" si="92"/>
        <v>0</v>
      </c>
      <c r="BP126" s="113">
        <f t="shared" si="92"/>
        <v>0</v>
      </c>
      <c r="BQ126" s="113">
        <f aca="true" t="shared" si="93" ref="BQ126:BR137">IF(kontonr=BQ$5,$N126,0)</f>
        <v>0</v>
      </c>
      <c r="BR126" s="113">
        <f t="shared" si="93"/>
        <v>0</v>
      </c>
      <c r="BS126" s="113">
        <f t="shared" si="47"/>
        <v>0</v>
      </c>
      <c r="BT126" s="113">
        <f t="shared" si="48"/>
        <v>0</v>
      </c>
      <c r="BU126" s="113"/>
      <c r="BV126" s="113"/>
      <c r="BW126" s="113"/>
      <c r="BX126" s="113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08">
        <f t="shared" si="49"/>
      </c>
      <c r="CJ126" s="113"/>
      <c r="CK126" s="113"/>
      <c r="CL126" s="113"/>
      <c r="CM126" s="113"/>
    </row>
    <row r="127" spans="1:91" s="112" customFormat="1" ht="15">
      <c r="A127" s="103"/>
      <c r="B127" s="104"/>
      <c r="C127" s="115"/>
      <c r="D127" s="106"/>
      <c r="E127" s="107">
        <f t="shared" si="89"/>
      </c>
      <c r="F127" s="108">
        <f t="shared" si="8"/>
      </c>
      <c r="G127" s="109"/>
      <c r="H127" s="110"/>
      <c r="I127" s="486">
        <f t="shared" si="90"/>
        <v>0</v>
      </c>
      <c r="J127" s="486">
        <f t="shared" si="77"/>
        <v>0</v>
      </c>
      <c r="K127" s="486">
        <f t="shared" si="78"/>
        <v>0</v>
      </c>
      <c r="L127" s="111">
        <f t="shared" si="10"/>
        <v>0</v>
      </c>
      <c r="M127" s="176">
        <f aca="true" t="shared" si="94" ref="M127:M137">IF(kontonr&gt;=3000,IF(kontonr&lt;10000,-nettobeløp,0),0)</f>
        <v>0</v>
      </c>
      <c r="N127" s="177">
        <f t="shared" si="79"/>
        <v>0</v>
      </c>
      <c r="P127" s="306">
        <f t="shared" si="12"/>
        <v>0</v>
      </c>
      <c r="Q127" s="71">
        <f t="shared" si="13"/>
        <v>0</v>
      </c>
      <c r="R127" s="71">
        <f t="shared" si="14"/>
        <v>0</v>
      </c>
      <c r="S127" s="71">
        <f t="shared" si="15"/>
        <v>0</v>
      </c>
      <c r="T127" s="71">
        <f>IF(kontonr&gt;1499,IF(kontonr&lt;1560,$N127),0)+IF(kontonr&gt;(Kontoplan!P$3-1),IF(kontonr&lt;(Kontoplan!P$3+300),$N127,0),0)</f>
        <v>0</v>
      </c>
      <c r="U127" s="71">
        <f t="shared" si="16"/>
        <v>0</v>
      </c>
      <c r="V127" s="71">
        <f t="shared" si="17"/>
        <v>0</v>
      </c>
      <c r="W127" s="71">
        <f t="shared" si="18"/>
        <v>0</v>
      </c>
      <c r="X127" s="71">
        <f t="shared" si="19"/>
        <v>0</v>
      </c>
      <c r="Y127" s="71">
        <f t="shared" si="20"/>
        <v>0</v>
      </c>
      <c r="Z127" s="71">
        <f>IF(kontonr&gt;2399,IF(kontonr&lt;2500,$N127),0)+IF(kontonr&gt;(Kontoplan!$P$4-1),IF(kontonr&lt;(Kontoplan!$P$4+600),$N127,0),0)</f>
        <v>0</v>
      </c>
      <c r="AA127" s="71">
        <f t="shared" si="21"/>
        <v>0</v>
      </c>
      <c r="AB127" s="71">
        <f t="shared" si="22"/>
        <v>0</v>
      </c>
      <c r="AC127" s="71">
        <f t="shared" si="23"/>
        <v>0</v>
      </c>
      <c r="AD127" s="71">
        <f t="shared" si="24"/>
        <v>0</v>
      </c>
      <c r="AE127" s="71">
        <f t="shared" si="25"/>
        <v>0</v>
      </c>
      <c r="AF127" s="306">
        <f t="shared" si="26"/>
        <v>0</v>
      </c>
      <c r="AG127" s="74">
        <f t="shared" si="27"/>
        <v>0</v>
      </c>
      <c r="AH127" s="71">
        <f t="shared" si="28"/>
        <v>0</v>
      </c>
      <c r="AI127" s="71">
        <f t="shared" si="29"/>
        <v>0</v>
      </c>
      <c r="AJ127" s="71">
        <f aca="true" t="shared" si="95" ref="AJ127:AJ137">IF(kontonr&gt;4999,IF(kontonr&lt;6000,$M127,0),0)</f>
        <v>0</v>
      </c>
      <c r="AK127" s="71">
        <f t="shared" si="31"/>
        <v>0</v>
      </c>
      <c r="AL127" s="71">
        <f t="shared" si="32"/>
        <v>0</v>
      </c>
      <c r="AM127" s="71">
        <f aca="true" t="shared" si="96" ref="AM127:AM137">IF(kontonr&gt;7999,IF(kontonr&lt;8100,$M127,0),0)</f>
        <v>0</v>
      </c>
      <c r="AN127" s="71">
        <f aca="true" t="shared" si="97" ref="AN127:AN137">IF(kontonr&gt;8099,IF(kontonr&lt;8200,$M127,0),0)</f>
        <v>0</v>
      </c>
      <c r="AO127" s="71">
        <f t="shared" si="35"/>
        <v>0</v>
      </c>
      <c r="AP127" s="71">
        <f t="shared" si="36"/>
        <v>0</v>
      </c>
      <c r="AQ127" s="71">
        <f t="shared" si="37"/>
        <v>0</v>
      </c>
      <c r="AR127" s="71">
        <f t="shared" si="38"/>
        <v>0</v>
      </c>
      <c r="AS127" s="71">
        <f t="shared" si="39"/>
        <v>0</v>
      </c>
      <c r="AT127" s="71">
        <f t="shared" si="40"/>
        <v>0</v>
      </c>
      <c r="AU127" s="306">
        <f t="shared" si="41"/>
        <v>0</v>
      </c>
      <c r="AV127" s="71">
        <f t="shared" si="42"/>
        <v>0</v>
      </c>
      <c r="AW127" s="71">
        <f t="shared" si="43"/>
        <v>0</v>
      </c>
      <c r="AX127" s="71">
        <f t="shared" si="44"/>
        <v>0</v>
      </c>
      <c r="AY127" s="113">
        <f aca="true" t="shared" si="98" ref="AY127:AY137">IF(kontonr=AY$5,$N127,0)</f>
        <v>0</v>
      </c>
      <c r="AZ127" s="113">
        <f aca="true" t="shared" si="99" ref="AZ127:AZ137">IF(kontonr=AZ$5,$N127,0)</f>
        <v>0</v>
      </c>
      <c r="BA127" s="113">
        <f t="shared" si="92"/>
        <v>0</v>
      </c>
      <c r="BB127" s="113">
        <f t="shared" si="92"/>
        <v>0</v>
      </c>
      <c r="BC127" s="113">
        <f t="shared" si="92"/>
        <v>0</v>
      </c>
      <c r="BD127" s="113">
        <f t="shared" si="92"/>
        <v>0</v>
      </c>
      <c r="BE127" s="113">
        <f t="shared" si="92"/>
        <v>0</v>
      </c>
      <c r="BF127" s="113">
        <f t="shared" si="92"/>
        <v>0</v>
      </c>
      <c r="BG127" s="113">
        <f t="shared" si="92"/>
        <v>0</v>
      </c>
      <c r="BH127" s="113">
        <f t="shared" si="92"/>
        <v>0</v>
      </c>
      <c r="BI127" s="113">
        <f t="shared" si="92"/>
        <v>0</v>
      </c>
      <c r="BJ127" s="113">
        <f t="shared" si="92"/>
        <v>0</v>
      </c>
      <c r="BK127" s="113">
        <f t="shared" si="92"/>
        <v>0</v>
      </c>
      <c r="BL127" s="113">
        <f t="shared" si="92"/>
        <v>0</v>
      </c>
      <c r="BM127" s="113">
        <f t="shared" si="92"/>
        <v>0</v>
      </c>
      <c r="BN127" s="113">
        <f t="shared" si="92"/>
        <v>0</v>
      </c>
      <c r="BO127" s="113">
        <f t="shared" si="92"/>
        <v>0</v>
      </c>
      <c r="BP127" s="113">
        <f t="shared" si="92"/>
        <v>0</v>
      </c>
      <c r="BQ127" s="113">
        <f t="shared" si="93"/>
        <v>0</v>
      </c>
      <c r="BR127" s="113">
        <f t="shared" si="93"/>
        <v>0</v>
      </c>
      <c r="BS127" s="113">
        <f t="shared" si="47"/>
        <v>0</v>
      </c>
      <c r="BT127" s="113">
        <f t="shared" si="48"/>
        <v>0</v>
      </c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08">
        <f t="shared" si="49"/>
      </c>
      <c r="CJ127" s="113"/>
      <c r="CK127" s="113"/>
      <c r="CL127" s="113"/>
      <c r="CM127" s="113"/>
    </row>
    <row r="128" spans="1:91" s="112" customFormat="1" ht="15">
      <c r="A128" s="103"/>
      <c r="B128" s="104"/>
      <c r="C128" s="115"/>
      <c r="D128" s="106"/>
      <c r="E128" s="107">
        <f t="shared" si="89"/>
      </c>
      <c r="F128" s="108">
        <f t="shared" si="8"/>
      </c>
      <c r="G128" s="109"/>
      <c r="H128" s="110"/>
      <c r="I128" s="486">
        <f t="shared" si="90"/>
        <v>0</v>
      </c>
      <c r="J128" s="486">
        <f t="shared" si="77"/>
        <v>0</v>
      </c>
      <c r="K128" s="486">
        <f t="shared" si="78"/>
        <v>0</v>
      </c>
      <c r="L128" s="111">
        <f t="shared" si="10"/>
        <v>0</v>
      </c>
      <c r="M128" s="176">
        <f t="shared" si="94"/>
        <v>0</v>
      </c>
      <c r="N128" s="177">
        <f t="shared" si="79"/>
        <v>0</v>
      </c>
      <c r="P128" s="306">
        <f t="shared" si="12"/>
        <v>0</v>
      </c>
      <c r="Q128" s="71">
        <f t="shared" si="13"/>
        <v>0</v>
      </c>
      <c r="R128" s="71">
        <f t="shared" si="14"/>
        <v>0</v>
      </c>
      <c r="S128" s="71">
        <f t="shared" si="15"/>
        <v>0</v>
      </c>
      <c r="T128" s="71">
        <f>IF(kontonr&gt;1499,IF(kontonr&lt;1560,$N128),0)+IF(kontonr&gt;(Kontoplan!P$3-1),IF(kontonr&lt;(Kontoplan!P$3+300),$N128,0),0)</f>
        <v>0</v>
      </c>
      <c r="U128" s="71">
        <f t="shared" si="16"/>
        <v>0</v>
      </c>
      <c r="V128" s="71">
        <f t="shared" si="17"/>
        <v>0</v>
      </c>
      <c r="W128" s="71">
        <f t="shared" si="18"/>
        <v>0</v>
      </c>
      <c r="X128" s="71">
        <f t="shared" si="19"/>
        <v>0</v>
      </c>
      <c r="Y128" s="71">
        <f t="shared" si="20"/>
        <v>0</v>
      </c>
      <c r="Z128" s="71">
        <f>IF(kontonr&gt;2399,IF(kontonr&lt;2500,$N128),0)+IF(kontonr&gt;(Kontoplan!$P$4-1),IF(kontonr&lt;(Kontoplan!$P$4+600),$N128,0),0)</f>
        <v>0</v>
      </c>
      <c r="AA128" s="71">
        <f t="shared" si="21"/>
        <v>0</v>
      </c>
      <c r="AB128" s="71">
        <f t="shared" si="22"/>
        <v>0</v>
      </c>
      <c r="AC128" s="71">
        <f t="shared" si="23"/>
        <v>0</v>
      </c>
      <c r="AD128" s="71">
        <f t="shared" si="24"/>
        <v>0</v>
      </c>
      <c r="AE128" s="71">
        <f t="shared" si="25"/>
        <v>0</v>
      </c>
      <c r="AF128" s="306">
        <f t="shared" si="26"/>
        <v>0</v>
      </c>
      <c r="AG128" s="74">
        <f t="shared" si="27"/>
        <v>0</v>
      </c>
      <c r="AH128" s="71">
        <f t="shared" si="28"/>
        <v>0</v>
      </c>
      <c r="AI128" s="71">
        <f t="shared" si="29"/>
        <v>0</v>
      </c>
      <c r="AJ128" s="71">
        <f t="shared" si="95"/>
        <v>0</v>
      </c>
      <c r="AK128" s="71">
        <f t="shared" si="31"/>
        <v>0</v>
      </c>
      <c r="AL128" s="71">
        <f t="shared" si="32"/>
        <v>0</v>
      </c>
      <c r="AM128" s="71">
        <f t="shared" si="96"/>
        <v>0</v>
      </c>
      <c r="AN128" s="71">
        <f t="shared" si="97"/>
        <v>0</v>
      </c>
      <c r="AO128" s="71">
        <f t="shared" si="35"/>
        <v>0</v>
      </c>
      <c r="AP128" s="71">
        <f t="shared" si="36"/>
        <v>0</v>
      </c>
      <c r="AQ128" s="71">
        <f t="shared" si="37"/>
        <v>0</v>
      </c>
      <c r="AR128" s="71">
        <f t="shared" si="38"/>
        <v>0</v>
      </c>
      <c r="AS128" s="71">
        <f t="shared" si="39"/>
        <v>0</v>
      </c>
      <c r="AT128" s="71">
        <f t="shared" si="40"/>
        <v>0</v>
      </c>
      <c r="AU128" s="306">
        <f t="shared" si="41"/>
        <v>0</v>
      </c>
      <c r="AV128" s="71">
        <f t="shared" si="42"/>
        <v>0</v>
      </c>
      <c r="AW128" s="71">
        <f t="shared" si="43"/>
        <v>0</v>
      </c>
      <c r="AX128" s="71">
        <f t="shared" si="44"/>
        <v>0</v>
      </c>
      <c r="AY128" s="113">
        <f t="shared" si="98"/>
        <v>0</v>
      </c>
      <c r="AZ128" s="113">
        <f t="shared" si="99"/>
        <v>0</v>
      </c>
      <c r="BA128" s="113">
        <f t="shared" si="92"/>
        <v>0</v>
      </c>
      <c r="BB128" s="113">
        <f t="shared" si="92"/>
        <v>0</v>
      </c>
      <c r="BC128" s="113">
        <f t="shared" si="92"/>
        <v>0</v>
      </c>
      <c r="BD128" s="113">
        <f t="shared" si="92"/>
        <v>0</v>
      </c>
      <c r="BE128" s="113">
        <f t="shared" si="92"/>
        <v>0</v>
      </c>
      <c r="BF128" s="113">
        <f t="shared" si="92"/>
        <v>0</v>
      </c>
      <c r="BG128" s="113">
        <f t="shared" si="92"/>
        <v>0</v>
      </c>
      <c r="BH128" s="113">
        <f t="shared" si="92"/>
        <v>0</v>
      </c>
      <c r="BI128" s="113">
        <f t="shared" si="92"/>
        <v>0</v>
      </c>
      <c r="BJ128" s="113">
        <f t="shared" si="92"/>
        <v>0</v>
      </c>
      <c r="BK128" s="113">
        <f t="shared" si="92"/>
        <v>0</v>
      </c>
      <c r="BL128" s="113">
        <f t="shared" si="92"/>
        <v>0</v>
      </c>
      <c r="BM128" s="113">
        <f t="shared" si="92"/>
        <v>0</v>
      </c>
      <c r="BN128" s="113">
        <f t="shared" si="92"/>
        <v>0</v>
      </c>
      <c r="BO128" s="113">
        <f t="shared" si="92"/>
        <v>0</v>
      </c>
      <c r="BP128" s="113">
        <f t="shared" si="92"/>
        <v>0</v>
      </c>
      <c r="BQ128" s="113">
        <f t="shared" si="93"/>
        <v>0</v>
      </c>
      <c r="BR128" s="113">
        <f t="shared" si="93"/>
        <v>0</v>
      </c>
      <c r="BS128" s="113">
        <f t="shared" si="47"/>
        <v>0</v>
      </c>
      <c r="BT128" s="113">
        <f t="shared" si="48"/>
        <v>0</v>
      </c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08">
        <f t="shared" si="49"/>
      </c>
      <c r="CJ128" s="113"/>
      <c r="CK128" s="113"/>
      <c r="CL128" s="113"/>
      <c r="CM128" s="113"/>
    </row>
    <row r="129" spans="1:91" s="112" customFormat="1" ht="15">
      <c r="A129" s="103"/>
      <c r="B129" s="104"/>
      <c r="C129" s="115"/>
      <c r="D129" s="106"/>
      <c r="E129" s="107">
        <f t="shared" si="89"/>
      </c>
      <c r="F129" s="108">
        <f t="shared" si="8"/>
      </c>
      <c r="G129" s="109"/>
      <c r="H129" s="110"/>
      <c r="I129" s="486">
        <f t="shared" si="90"/>
        <v>0</v>
      </c>
      <c r="J129" s="486">
        <f t="shared" si="77"/>
        <v>0</v>
      </c>
      <c r="K129" s="486">
        <f t="shared" si="78"/>
        <v>0</v>
      </c>
      <c r="L129" s="111">
        <f t="shared" si="10"/>
        <v>0</v>
      </c>
      <c r="M129" s="176">
        <f t="shared" si="94"/>
        <v>0</v>
      </c>
      <c r="N129" s="177">
        <f t="shared" si="79"/>
        <v>0</v>
      </c>
      <c r="P129" s="306">
        <f t="shared" si="12"/>
        <v>0</v>
      </c>
      <c r="Q129" s="71">
        <f t="shared" si="13"/>
        <v>0</v>
      </c>
      <c r="R129" s="71">
        <f t="shared" si="14"/>
        <v>0</v>
      </c>
      <c r="S129" s="71">
        <f t="shared" si="15"/>
        <v>0</v>
      </c>
      <c r="T129" s="71">
        <f>IF(kontonr&gt;1499,IF(kontonr&lt;1560,$N129),0)+IF(kontonr&gt;(Kontoplan!P$3-1),IF(kontonr&lt;(Kontoplan!P$3+300),$N129,0),0)</f>
        <v>0</v>
      </c>
      <c r="U129" s="71">
        <f t="shared" si="16"/>
        <v>0</v>
      </c>
      <c r="V129" s="71">
        <f t="shared" si="17"/>
        <v>0</v>
      </c>
      <c r="W129" s="71">
        <f t="shared" si="18"/>
        <v>0</v>
      </c>
      <c r="X129" s="71">
        <f t="shared" si="19"/>
        <v>0</v>
      </c>
      <c r="Y129" s="71">
        <f t="shared" si="20"/>
        <v>0</v>
      </c>
      <c r="Z129" s="71">
        <f>IF(kontonr&gt;2399,IF(kontonr&lt;2500,$N129),0)+IF(kontonr&gt;(Kontoplan!$P$4-1),IF(kontonr&lt;(Kontoplan!$P$4+600),$N129,0),0)</f>
        <v>0</v>
      </c>
      <c r="AA129" s="71">
        <f t="shared" si="21"/>
        <v>0</v>
      </c>
      <c r="AB129" s="71">
        <f t="shared" si="22"/>
        <v>0</v>
      </c>
      <c r="AC129" s="71">
        <f t="shared" si="23"/>
        <v>0</v>
      </c>
      <c r="AD129" s="71">
        <f t="shared" si="24"/>
        <v>0</v>
      </c>
      <c r="AE129" s="71">
        <f t="shared" si="25"/>
        <v>0</v>
      </c>
      <c r="AF129" s="306">
        <f t="shared" si="26"/>
        <v>0</v>
      </c>
      <c r="AG129" s="74">
        <f t="shared" si="27"/>
        <v>0</v>
      </c>
      <c r="AH129" s="71">
        <f t="shared" si="28"/>
        <v>0</v>
      </c>
      <c r="AI129" s="71">
        <f t="shared" si="29"/>
        <v>0</v>
      </c>
      <c r="AJ129" s="71">
        <f t="shared" si="95"/>
        <v>0</v>
      </c>
      <c r="AK129" s="71">
        <f t="shared" si="31"/>
        <v>0</v>
      </c>
      <c r="AL129" s="71">
        <f t="shared" si="32"/>
        <v>0</v>
      </c>
      <c r="AM129" s="71">
        <f t="shared" si="96"/>
        <v>0</v>
      </c>
      <c r="AN129" s="71">
        <f t="shared" si="97"/>
        <v>0</v>
      </c>
      <c r="AO129" s="71">
        <f t="shared" si="35"/>
        <v>0</v>
      </c>
      <c r="AP129" s="71">
        <f t="shared" si="36"/>
        <v>0</v>
      </c>
      <c r="AQ129" s="71">
        <f t="shared" si="37"/>
        <v>0</v>
      </c>
      <c r="AR129" s="71">
        <f t="shared" si="38"/>
        <v>0</v>
      </c>
      <c r="AS129" s="71">
        <f t="shared" si="39"/>
        <v>0</v>
      </c>
      <c r="AT129" s="71">
        <f t="shared" si="40"/>
        <v>0</v>
      </c>
      <c r="AU129" s="306">
        <f t="shared" si="41"/>
        <v>0</v>
      </c>
      <c r="AV129" s="71">
        <f t="shared" si="42"/>
        <v>0</v>
      </c>
      <c r="AW129" s="71">
        <f t="shared" si="43"/>
        <v>0</v>
      </c>
      <c r="AX129" s="71">
        <f t="shared" si="44"/>
        <v>0</v>
      </c>
      <c r="AY129" s="113">
        <f t="shared" si="98"/>
        <v>0</v>
      </c>
      <c r="AZ129" s="113">
        <f t="shared" si="99"/>
        <v>0</v>
      </c>
      <c r="BA129" s="113">
        <f t="shared" si="92"/>
        <v>0</v>
      </c>
      <c r="BB129" s="113">
        <f t="shared" si="92"/>
        <v>0</v>
      </c>
      <c r="BC129" s="113">
        <f t="shared" si="92"/>
        <v>0</v>
      </c>
      <c r="BD129" s="113">
        <f t="shared" si="92"/>
        <v>0</v>
      </c>
      <c r="BE129" s="113">
        <f t="shared" si="92"/>
        <v>0</v>
      </c>
      <c r="BF129" s="113">
        <f t="shared" si="92"/>
        <v>0</v>
      </c>
      <c r="BG129" s="113">
        <f t="shared" si="92"/>
        <v>0</v>
      </c>
      <c r="BH129" s="113">
        <f t="shared" si="92"/>
        <v>0</v>
      </c>
      <c r="BI129" s="113">
        <f t="shared" si="92"/>
        <v>0</v>
      </c>
      <c r="BJ129" s="113">
        <f t="shared" si="92"/>
        <v>0</v>
      </c>
      <c r="BK129" s="113">
        <f t="shared" si="92"/>
        <v>0</v>
      </c>
      <c r="BL129" s="113">
        <f t="shared" si="92"/>
        <v>0</v>
      </c>
      <c r="BM129" s="113">
        <f t="shared" si="92"/>
        <v>0</v>
      </c>
      <c r="BN129" s="113">
        <f t="shared" si="92"/>
        <v>0</v>
      </c>
      <c r="BO129" s="113">
        <f t="shared" si="92"/>
        <v>0</v>
      </c>
      <c r="BP129" s="113">
        <f t="shared" si="92"/>
        <v>0</v>
      </c>
      <c r="BQ129" s="113">
        <f t="shared" si="93"/>
        <v>0</v>
      </c>
      <c r="BR129" s="113">
        <f t="shared" si="93"/>
        <v>0</v>
      </c>
      <c r="BS129" s="113">
        <f t="shared" si="47"/>
        <v>0</v>
      </c>
      <c r="BT129" s="113">
        <f t="shared" si="48"/>
        <v>0</v>
      </c>
      <c r="BU129" s="113"/>
      <c r="BV129" s="113"/>
      <c r="BW129" s="113"/>
      <c r="BX129" s="113"/>
      <c r="BY129" s="113"/>
      <c r="BZ129" s="113"/>
      <c r="CA129" s="113"/>
      <c r="CB129" s="113"/>
      <c r="CC129" s="113"/>
      <c r="CD129" s="113"/>
      <c r="CE129" s="113"/>
      <c r="CF129" s="113"/>
      <c r="CG129" s="113"/>
      <c r="CH129" s="113"/>
      <c r="CI129" s="108">
        <f t="shared" si="49"/>
      </c>
      <c r="CJ129" s="113"/>
      <c r="CK129" s="113"/>
      <c r="CL129" s="113"/>
      <c r="CM129" s="113"/>
    </row>
    <row r="130" spans="1:91" s="112" customFormat="1" ht="15">
      <c r="A130" s="103"/>
      <c r="B130" s="104"/>
      <c r="C130" s="115"/>
      <c r="D130" s="106"/>
      <c r="E130" s="107">
        <f t="shared" si="89"/>
      </c>
      <c r="F130" s="108">
        <f t="shared" si="8"/>
      </c>
      <c r="G130" s="109"/>
      <c r="H130" s="110"/>
      <c r="I130" s="486">
        <f t="shared" si="90"/>
        <v>0</v>
      </c>
      <c r="J130" s="486">
        <f t="shared" si="77"/>
        <v>0</v>
      </c>
      <c r="K130" s="486">
        <f t="shared" si="78"/>
        <v>0</v>
      </c>
      <c r="L130" s="111">
        <f t="shared" si="10"/>
        <v>0</v>
      </c>
      <c r="M130" s="176">
        <f t="shared" si="94"/>
        <v>0</v>
      </c>
      <c r="N130" s="177">
        <f t="shared" si="79"/>
        <v>0</v>
      </c>
      <c r="P130" s="306">
        <f t="shared" si="12"/>
        <v>0</v>
      </c>
      <c r="Q130" s="71">
        <f t="shared" si="13"/>
        <v>0</v>
      </c>
      <c r="R130" s="71">
        <f t="shared" si="14"/>
        <v>0</v>
      </c>
      <c r="S130" s="71">
        <f t="shared" si="15"/>
        <v>0</v>
      </c>
      <c r="T130" s="71">
        <f>IF(kontonr&gt;1499,IF(kontonr&lt;1560,$N130),0)+IF(kontonr&gt;(Kontoplan!P$3-1),IF(kontonr&lt;(Kontoplan!P$3+300),$N130,0),0)</f>
        <v>0</v>
      </c>
      <c r="U130" s="71">
        <f t="shared" si="16"/>
        <v>0</v>
      </c>
      <c r="V130" s="71">
        <f t="shared" si="17"/>
        <v>0</v>
      </c>
      <c r="W130" s="71">
        <f t="shared" si="18"/>
        <v>0</v>
      </c>
      <c r="X130" s="71">
        <f t="shared" si="19"/>
        <v>0</v>
      </c>
      <c r="Y130" s="71">
        <f t="shared" si="20"/>
        <v>0</v>
      </c>
      <c r="Z130" s="71">
        <f>IF(kontonr&gt;2399,IF(kontonr&lt;2500,$N130),0)+IF(kontonr&gt;(Kontoplan!$P$4-1),IF(kontonr&lt;(Kontoplan!$P$4+600),$N130,0),0)</f>
        <v>0</v>
      </c>
      <c r="AA130" s="71">
        <f t="shared" si="21"/>
        <v>0</v>
      </c>
      <c r="AB130" s="71">
        <f t="shared" si="22"/>
        <v>0</v>
      </c>
      <c r="AC130" s="71">
        <f t="shared" si="23"/>
        <v>0</v>
      </c>
      <c r="AD130" s="71">
        <f t="shared" si="24"/>
        <v>0</v>
      </c>
      <c r="AE130" s="71">
        <f t="shared" si="25"/>
        <v>0</v>
      </c>
      <c r="AF130" s="306">
        <f t="shared" si="26"/>
        <v>0</v>
      </c>
      <c r="AG130" s="74">
        <f t="shared" si="27"/>
        <v>0</v>
      </c>
      <c r="AH130" s="71">
        <f t="shared" si="28"/>
        <v>0</v>
      </c>
      <c r="AI130" s="71">
        <f t="shared" si="29"/>
        <v>0</v>
      </c>
      <c r="AJ130" s="71">
        <f t="shared" si="95"/>
        <v>0</v>
      </c>
      <c r="AK130" s="71">
        <f t="shared" si="31"/>
        <v>0</v>
      </c>
      <c r="AL130" s="71">
        <f t="shared" si="32"/>
        <v>0</v>
      </c>
      <c r="AM130" s="71">
        <f t="shared" si="96"/>
        <v>0</v>
      </c>
      <c r="AN130" s="71">
        <f t="shared" si="97"/>
        <v>0</v>
      </c>
      <c r="AO130" s="71">
        <f t="shared" si="35"/>
        <v>0</v>
      </c>
      <c r="AP130" s="71">
        <f t="shared" si="36"/>
        <v>0</v>
      </c>
      <c r="AQ130" s="71">
        <f t="shared" si="37"/>
        <v>0</v>
      </c>
      <c r="AR130" s="71">
        <f t="shared" si="38"/>
        <v>0</v>
      </c>
      <c r="AS130" s="71">
        <f t="shared" si="39"/>
        <v>0</v>
      </c>
      <c r="AT130" s="71">
        <f t="shared" si="40"/>
        <v>0</v>
      </c>
      <c r="AU130" s="306">
        <f t="shared" si="41"/>
        <v>0</v>
      </c>
      <c r="AV130" s="71">
        <f t="shared" si="42"/>
        <v>0</v>
      </c>
      <c r="AW130" s="71">
        <f t="shared" si="43"/>
        <v>0</v>
      </c>
      <c r="AX130" s="71">
        <f t="shared" si="44"/>
        <v>0</v>
      </c>
      <c r="AY130" s="113">
        <f t="shared" si="98"/>
        <v>0</v>
      </c>
      <c r="AZ130" s="113">
        <f t="shared" si="99"/>
        <v>0</v>
      </c>
      <c r="BA130" s="113">
        <f t="shared" si="92"/>
        <v>0</v>
      </c>
      <c r="BB130" s="113">
        <f t="shared" si="92"/>
        <v>0</v>
      </c>
      <c r="BC130" s="113">
        <f t="shared" si="92"/>
        <v>0</v>
      </c>
      <c r="BD130" s="113">
        <f t="shared" si="92"/>
        <v>0</v>
      </c>
      <c r="BE130" s="113">
        <f t="shared" si="92"/>
        <v>0</v>
      </c>
      <c r="BF130" s="113">
        <f t="shared" si="92"/>
        <v>0</v>
      </c>
      <c r="BG130" s="113">
        <f t="shared" si="92"/>
        <v>0</v>
      </c>
      <c r="BH130" s="113">
        <f t="shared" si="92"/>
        <v>0</v>
      </c>
      <c r="BI130" s="113">
        <f t="shared" si="92"/>
        <v>0</v>
      </c>
      <c r="BJ130" s="113">
        <f t="shared" si="92"/>
        <v>0</v>
      </c>
      <c r="BK130" s="113">
        <f t="shared" si="92"/>
        <v>0</v>
      </c>
      <c r="BL130" s="113">
        <f t="shared" si="92"/>
        <v>0</v>
      </c>
      <c r="BM130" s="113">
        <f t="shared" si="92"/>
        <v>0</v>
      </c>
      <c r="BN130" s="113">
        <f t="shared" si="92"/>
        <v>0</v>
      </c>
      <c r="BO130" s="113">
        <f t="shared" si="92"/>
        <v>0</v>
      </c>
      <c r="BP130" s="113">
        <f t="shared" si="92"/>
        <v>0</v>
      </c>
      <c r="BQ130" s="113">
        <f t="shared" si="93"/>
        <v>0</v>
      </c>
      <c r="BR130" s="113">
        <f t="shared" si="93"/>
        <v>0</v>
      </c>
      <c r="BS130" s="113">
        <f t="shared" si="47"/>
        <v>0</v>
      </c>
      <c r="BT130" s="113">
        <f t="shared" si="48"/>
        <v>0</v>
      </c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08">
        <f t="shared" si="49"/>
      </c>
      <c r="CJ130" s="113"/>
      <c r="CK130" s="113"/>
      <c r="CL130" s="113"/>
      <c r="CM130" s="113"/>
    </row>
    <row r="131" spans="1:91" s="112" customFormat="1" ht="15">
      <c r="A131" s="103"/>
      <c r="B131" s="104"/>
      <c r="C131" s="115"/>
      <c r="D131" s="106"/>
      <c r="E131" s="107">
        <f t="shared" si="89"/>
      </c>
      <c r="F131" s="108">
        <f t="shared" si="8"/>
      </c>
      <c r="G131" s="109"/>
      <c r="H131" s="110"/>
      <c r="I131" s="486">
        <f t="shared" si="90"/>
        <v>0</v>
      </c>
      <c r="J131" s="486">
        <f t="shared" si="77"/>
        <v>0</v>
      </c>
      <c r="K131" s="486">
        <f t="shared" si="78"/>
        <v>0</v>
      </c>
      <c r="L131" s="111">
        <f t="shared" si="10"/>
        <v>0</v>
      </c>
      <c r="M131" s="176">
        <f t="shared" si="94"/>
        <v>0</v>
      </c>
      <c r="N131" s="177">
        <f t="shared" si="79"/>
        <v>0</v>
      </c>
      <c r="P131" s="306">
        <f t="shared" si="12"/>
        <v>0</v>
      </c>
      <c r="Q131" s="71">
        <f t="shared" si="13"/>
        <v>0</v>
      </c>
      <c r="R131" s="71">
        <f t="shared" si="14"/>
        <v>0</v>
      </c>
      <c r="S131" s="71">
        <f t="shared" si="15"/>
        <v>0</v>
      </c>
      <c r="T131" s="71">
        <f>IF(kontonr&gt;1499,IF(kontonr&lt;1560,$N131),0)+IF(kontonr&gt;(Kontoplan!P$3-1),IF(kontonr&lt;(Kontoplan!P$3+300),$N131,0),0)</f>
        <v>0</v>
      </c>
      <c r="U131" s="71">
        <f t="shared" si="16"/>
        <v>0</v>
      </c>
      <c r="V131" s="71">
        <f t="shared" si="17"/>
        <v>0</v>
      </c>
      <c r="W131" s="71">
        <f t="shared" si="18"/>
        <v>0</v>
      </c>
      <c r="X131" s="71">
        <f t="shared" si="19"/>
        <v>0</v>
      </c>
      <c r="Y131" s="71">
        <f t="shared" si="20"/>
        <v>0</v>
      </c>
      <c r="Z131" s="71">
        <f>IF(kontonr&gt;2399,IF(kontonr&lt;2500,$N131),0)+IF(kontonr&gt;(Kontoplan!$P$4-1),IF(kontonr&lt;(Kontoplan!$P$4+600),$N131,0),0)</f>
        <v>0</v>
      </c>
      <c r="AA131" s="71">
        <f t="shared" si="21"/>
        <v>0</v>
      </c>
      <c r="AB131" s="71">
        <f t="shared" si="22"/>
        <v>0</v>
      </c>
      <c r="AC131" s="71">
        <f t="shared" si="23"/>
        <v>0</v>
      </c>
      <c r="AD131" s="71">
        <f t="shared" si="24"/>
        <v>0</v>
      </c>
      <c r="AE131" s="71">
        <f t="shared" si="25"/>
        <v>0</v>
      </c>
      <c r="AF131" s="306">
        <f t="shared" si="26"/>
        <v>0</v>
      </c>
      <c r="AG131" s="74">
        <f t="shared" si="27"/>
        <v>0</v>
      </c>
      <c r="AH131" s="71">
        <f t="shared" si="28"/>
        <v>0</v>
      </c>
      <c r="AI131" s="71">
        <f t="shared" si="29"/>
        <v>0</v>
      </c>
      <c r="AJ131" s="71">
        <f t="shared" si="95"/>
        <v>0</v>
      </c>
      <c r="AK131" s="71">
        <f t="shared" si="31"/>
        <v>0</v>
      </c>
      <c r="AL131" s="71">
        <f t="shared" si="32"/>
        <v>0</v>
      </c>
      <c r="AM131" s="71">
        <f t="shared" si="96"/>
        <v>0</v>
      </c>
      <c r="AN131" s="71">
        <f t="shared" si="97"/>
        <v>0</v>
      </c>
      <c r="AO131" s="71">
        <f t="shared" si="35"/>
        <v>0</v>
      </c>
      <c r="AP131" s="71">
        <f t="shared" si="36"/>
        <v>0</v>
      </c>
      <c r="AQ131" s="71">
        <f t="shared" si="37"/>
        <v>0</v>
      </c>
      <c r="AR131" s="71">
        <f t="shared" si="38"/>
        <v>0</v>
      </c>
      <c r="AS131" s="71">
        <f t="shared" si="39"/>
        <v>0</v>
      </c>
      <c r="AT131" s="71">
        <f t="shared" si="40"/>
        <v>0</v>
      </c>
      <c r="AU131" s="306">
        <f t="shared" si="41"/>
        <v>0</v>
      </c>
      <c r="AV131" s="71">
        <f t="shared" si="42"/>
        <v>0</v>
      </c>
      <c r="AW131" s="71">
        <f t="shared" si="43"/>
        <v>0</v>
      </c>
      <c r="AX131" s="71">
        <f t="shared" si="44"/>
        <v>0</v>
      </c>
      <c r="AY131" s="113">
        <f t="shared" si="98"/>
        <v>0</v>
      </c>
      <c r="AZ131" s="113">
        <f t="shared" si="99"/>
        <v>0</v>
      </c>
      <c r="BA131" s="113">
        <f t="shared" si="92"/>
        <v>0</v>
      </c>
      <c r="BB131" s="113">
        <f t="shared" si="92"/>
        <v>0</v>
      </c>
      <c r="BC131" s="113">
        <f t="shared" si="92"/>
        <v>0</v>
      </c>
      <c r="BD131" s="113">
        <f t="shared" si="92"/>
        <v>0</v>
      </c>
      <c r="BE131" s="113">
        <f t="shared" si="92"/>
        <v>0</v>
      </c>
      <c r="BF131" s="113">
        <f t="shared" si="92"/>
        <v>0</v>
      </c>
      <c r="BG131" s="113">
        <f t="shared" si="92"/>
        <v>0</v>
      </c>
      <c r="BH131" s="113">
        <f t="shared" si="92"/>
        <v>0</v>
      </c>
      <c r="BI131" s="113">
        <f t="shared" si="92"/>
        <v>0</v>
      </c>
      <c r="BJ131" s="113">
        <f t="shared" si="92"/>
        <v>0</v>
      </c>
      <c r="BK131" s="113">
        <f t="shared" si="92"/>
        <v>0</v>
      </c>
      <c r="BL131" s="113">
        <f t="shared" si="92"/>
        <v>0</v>
      </c>
      <c r="BM131" s="113">
        <f t="shared" si="92"/>
        <v>0</v>
      </c>
      <c r="BN131" s="113">
        <f t="shared" si="92"/>
        <v>0</v>
      </c>
      <c r="BO131" s="113">
        <f t="shared" si="92"/>
        <v>0</v>
      </c>
      <c r="BP131" s="113">
        <f t="shared" si="92"/>
        <v>0</v>
      </c>
      <c r="BQ131" s="113">
        <f t="shared" si="93"/>
        <v>0</v>
      </c>
      <c r="BR131" s="113">
        <f t="shared" si="93"/>
        <v>0</v>
      </c>
      <c r="BS131" s="113">
        <f t="shared" si="47"/>
        <v>0</v>
      </c>
      <c r="BT131" s="113">
        <f t="shared" si="48"/>
        <v>0</v>
      </c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08">
        <f t="shared" si="49"/>
      </c>
      <c r="CJ131" s="113"/>
      <c r="CK131" s="113"/>
      <c r="CL131" s="113"/>
      <c r="CM131" s="113"/>
    </row>
    <row r="132" spans="1:91" s="112" customFormat="1" ht="15">
      <c r="A132" s="103"/>
      <c r="B132" s="104"/>
      <c r="C132" s="115"/>
      <c r="D132" s="106"/>
      <c r="E132" s="107">
        <f t="shared" si="89"/>
      </c>
      <c r="F132" s="108">
        <f t="shared" si="8"/>
      </c>
      <c r="G132" s="109"/>
      <c r="H132" s="110"/>
      <c r="I132" s="486">
        <f t="shared" si="90"/>
        <v>0</v>
      </c>
      <c r="J132" s="486">
        <f t="shared" si="77"/>
        <v>0</v>
      </c>
      <c r="K132" s="486">
        <f t="shared" si="78"/>
        <v>0</v>
      </c>
      <c r="L132" s="111">
        <f t="shared" si="10"/>
        <v>0</v>
      </c>
      <c r="M132" s="176">
        <f t="shared" si="94"/>
        <v>0</v>
      </c>
      <c r="N132" s="177">
        <f t="shared" si="79"/>
        <v>0</v>
      </c>
      <c r="P132" s="306">
        <f t="shared" si="12"/>
        <v>0</v>
      </c>
      <c r="Q132" s="71">
        <f t="shared" si="13"/>
        <v>0</v>
      </c>
      <c r="R132" s="71">
        <f t="shared" si="14"/>
        <v>0</v>
      </c>
      <c r="S132" s="71">
        <f t="shared" si="15"/>
        <v>0</v>
      </c>
      <c r="T132" s="71">
        <f>IF(kontonr&gt;1499,IF(kontonr&lt;1560,$N132),0)+IF(kontonr&gt;(Kontoplan!P$3-1),IF(kontonr&lt;(Kontoplan!P$3+300),$N132,0),0)</f>
        <v>0</v>
      </c>
      <c r="U132" s="71">
        <f t="shared" si="16"/>
        <v>0</v>
      </c>
      <c r="V132" s="71">
        <f t="shared" si="17"/>
        <v>0</v>
      </c>
      <c r="W132" s="71">
        <f t="shared" si="18"/>
        <v>0</v>
      </c>
      <c r="X132" s="71">
        <f t="shared" si="19"/>
        <v>0</v>
      </c>
      <c r="Y132" s="71">
        <f t="shared" si="20"/>
        <v>0</v>
      </c>
      <c r="Z132" s="71">
        <f>IF(kontonr&gt;2399,IF(kontonr&lt;2500,$N132),0)+IF(kontonr&gt;(Kontoplan!$P$4-1),IF(kontonr&lt;(Kontoplan!$P$4+600),$N132,0),0)</f>
        <v>0</v>
      </c>
      <c r="AA132" s="71">
        <f t="shared" si="21"/>
        <v>0</v>
      </c>
      <c r="AB132" s="71">
        <f t="shared" si="22"/>
        <v>0</v>
      </c>
      <c r="AC132" s="71">
        <f t="shared" si="23"/>
        <v>0</v>
      </c>
      <c r="AD132" s="71">
        <f t="shared" si="24"/>
        <v>0</v>
      </c>
      <c r="AE132" s="71">
        <f t="shared" si="25"/>
        <v>0</v>
      </c>
      <c r="AF132" s="306">
        <f t="shared" si="26"/>
        <v>0</v>
      </c>
      <c r="AG132" s="74">
        <f t="shared" si="27"/>
        <v>0</v>
      </c>
      <c r="AH132" s="71">
        <f t="shared" si="28"/>
        <v>0</v>
      </c>
      <c r="AI132" s="71">
        <f t="shared" si="29"/>
        <v>0</v>
      </c>
      <c r="AJ132" s="71">
        <f t="shared" si="95"/>
        <v>0</v>
      </c>
      <c r="AK132" s="71">
        <f t="shared" si="31"/>
        <v>0</v>
      </c>
      <c r="AL132" s="71">
        <f t="shared" si="32"/>
        <v>0</v>
      </c>
      <c r="AM132" s="71">
        <f t="shared" si="96"/>
        <v>0</v>
      </c>
      <c r="AN132" s="71">
        <f t="shared" si="97"/>
        <v>0</v>
      </c>
      <c r="AO132" s="71">
        <f t="shared" si="35"/>
        <v>0</v>
      </c>
      <c r="AP132" s="71">
        <f t="shared" si="36"/>
        <v>0</v>
      </c>
      <c r="AQ132" s="71">
        <f t="shared" si="37"/>
        <v>0</v>
      </c>
      <c r="AR132" s="71">
        <f t="shared" si="38"/>
        <v>0</v>
      </c>
      <c r="AS132" s="71">
        <f t="shared" si="39"/>
        <v>0</v>
      </c>
      <c r="AT132" s="71">
        <f t="shared" si="40"/>
        <v>0</v>
      </c>
      <c r="AU132" s="306">
        <f t="shared" si="41"/>
        <v>0</v>
      </c>
      <c r="AV132" s="71">
        <f t="shared" si="42"/>
        <v>0</v>
      </c>
      <c r="AW132" s="71">
        <f t="shared" si="43"/>
        <v>0</v>
      </c>
      <c r="AX132" s="71">
        <f t="shared" si="44"/>
        <v>0</v>
      </c>
      <c r="AY132" s="113">
        <f t="shared" si="98"/>
        <v>0</v>
      </c>
      <c r="AZ132" s="113">
        <f t="shared" si="99"/>
        <v>0</v>
      </c>
      <c r="BA132" s="113">
        <f t="shared" si="92"/>
        <v>0</v>
      </c>
      <c r="BB132" s="113">
        <f t="shared" si="92"/>
        <v>0</v>
      </c>
      <c r="BC132" s="113">
        <f t="shared" si="92"/>
        <v>0</v>
      </c>
      <c r="BD132" s="113">
        <f t="shared" si="92"/>
        <v>0</v>
      </c>
      <c r="BE132" s="113">
        <f t="shared" si="92"/>
        <v>0</v>
      </c>
      <c r="BF132" s="113">
        <f t="shared" si="92"/>
        <v>0</v>
      </c>
      <c r="BG132" s="113">
        <f t="shared" si="92"/>
        <v>0</v>
      </c>
      <c r="BH132" s="113">
        <f t="shared" si="92"/>
        <v>0</v>
      </c>
      <c r="BI132" s="113">
        <f t="shared" si="92"/>
        <v>0</v>
      </c>
      <c r="BJ132" s="113">
        <f t="shared" si="92"/>
        <v>0</v>
      </c>
      <c r="BK132" s="113">
        <f t="shared" si="92"/>
        <v>0</v>
      </c>
      <c r="BL132" s="113">
        <f t="shared" si="92"/>
        <v>0</v>
      </c>
      <c r="BM132" s="113">
        <f t="shared" si="92"/>
        <v>0</v>
      </c>
      <c r="BN132" s="113">
        <f t="shared" si="92"/>
        <v>0</v>
      </c>
      <c r="BO132" s="113">
        <f t="shared" si="92"/>
        <v>0</v>
      </c>
      <c r="BP132" s="113">
        <f t="shared" si="92"/>
        <v>0</v>
      </c>
      <c r="BQ132" s="113">
        <f t="shared" si="93"/>
        <v>0</v>
      </c>
      <c r="BR132" s="113">
        <f t="shared" si="93"/>
        <v>0</v>
      </c>
      <c r="BS132" s="113">
        <f t="shared" si="47"/>
        <v>0</v>
      </c>
      <c r="BT132" s="113">
        <f t="shared" si="48"/>
        <v>0</v>
      </c>
      <c r="BU132" s="113"/>
      <c r="BV132" s="113"/>
      <c r="BW132" s="113"/>
      <c r="BX132" s="113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08">
        <f t="shared" si="49"/>
      </c>
      <c r="CJ132" s="113"/>
      <c r="CK132" s="113"/>
      <c r="CL132" s="113"/>
      <c r="CM132" s="113"/>
    </row>
    <row r="133" spans="1:91" s="112" customFormat="1" ht="15">
      <c r="A133" s="103"/>
      <c r="B133" s="104"/>
      <c r="C133" s="115"/>
      <c r="D133" s="106"/>
      <c r="E133" s="107">
        <f t="shared" si="89"/>
      </c>
      <c r="F133" s="108">
        <f t="shared" si="8"/>
      </c>
      <c r="G133" s="109"/>
      <c r="H133" s="110"/>
      <c r="I133" s="486">
        <f t="shared" si="90"/>
        <v>0</v>
      </c>
      <c r="J133" s="486">
        <f t="shared" si="77"/>
        <v>0</v>
      </c>
      <c r="K133" s="486">
        <f t="shared" si="78"/>
        <v>0</v>
      </c>
      <c r="L133" s="111">
        <f t="shared" si="10"/>
        <v>0</v>
      </c>
      <c r="M133" s="176">
        <f t="shared" si="94"/>
        <v>0</v>
      </c>
      <c r="N133" s="177">
        <f t="shared" si="79"/>
        <v>0</v>
      </c>
      <c r="P133" s="306">
        <f t="shared" si="12"/>
        <v>0</v>
      </c>
      <c r="Q133" s="71">
        <f t="shared" si="13"/>
        <v>0</v>
      </c>
      <c r="R133" s="71">
        <f t="shared" si="14"/>
        <v>0</v>
      </c>
      <c r="S133" s="71">
        <f t="shared" si="15"/>
        <v>0</v>
      </c>
      <c r="T133" s="71">
        <f>IF(kontonr&gt;1499,IF(kontonr&lt;1560,$N133),0)+IF(kontonr&gt;(Kontoplan!P$3-1),IF(kontonr&lt;(Kontoplan!P$3+300),$N133,0),0)</f>
        <v>0</v>
      </c>
      <c r="U133" s="71">
        <f t="shared" si="16"/>
        <v>0</v>
      </c>
      <c r="V133" s="71">
        <f t="shared" si="17"/>
        <v>0</v>
      </c>
      <c r="W133" s="71">
        <f t="shared" si="18"/>
        <v>0</v>
      </c>
      <c r="X133" s="71">
        <f t="shared" si="19"/>
        <v>0</v>
      </c>
      <c r="Y133" s="71">
        <f t="shared" si="20"/>
        <v>0</v>
      </c>
      <c r="Z133" s="71">
        <f>IF(kontonr&gt;2399,IF(kontonr&lt;2500,$N133),0)+IF(kontonr&gt;(Kontoplan!$P$4-1),IF(kontonr&lt;(Kontoplan!$P$4+600),$N133,0),0)</f>
        <v>0</v>
      </c>
      <c r="AA133" s="71">
        <f t="shared" si="21"/>
        <v>0</v>
      </c>
      <c r="AB133" s="71">
        <f t="shared" si="22"/>
        <v>0</v>
      </c>
      <c r="AC133" s="71">
        <f t="shared" si="23"/>
        <v>0</v>
      </c>
      <c r="AD133" s="71">
        <f t="shared" si="24"/>
        <v>0</v>
      </c>
      <c r="AE133" s="71">
        <f t="shared" si="25"/>
        <v>0</v>
      </c>
      <c r="AF133" s="306">
        <f t="shared" si="26"/>
        <v>0</v>
      </c>
      <c r="AG133" s="74">
        <f t="shared" si="27"/>
        <v>0</v>
      </c>
      <c r="AH133" s="71">
        <f t="shared" si="28"/>
        <v>0</v>
      </c>
      <c r="AI133" s="71">
        <f t="shared" si="29"/>
        <v>0</v>
      </c>
      <c r="AJ133" s="71">
        <f t="shared" si="95"/>
        <v>0</v>
      </c>
      <c r="AK133" s="71">
        <f t="shared" si="31"/>
        <v>0</v>
      </c>
      <c r="AL133" s="71">
        <f t="shared" si="32"/>
        <v>0</v>
      </c>
      <c r="AM133" s="71">
        <f t="shared" si="96"/>
        <v>0</v>
      </c>
      <c r="AN133" s="71">
        <f t="shared" si="97"/>
        <v>0</v>
      </c>
      <c r="AO133" s="71">
        <f t="shared" si="35"/>
        <v>0</v>
      </c>
      <c r="AP133" s="71">
        <f t="shared" si="36"/>
        <v>0</v>
      </c>
      <c r="AQ133" s="71">
        <f t="shared" si="37"/>
        <v>0</v>
      </c>
      <c r="AR133" s="71">
        <f t="shared" si="38"/>
        <v>0</v>
      </c>
      <c r="AS133" s="71">
        <f t="shared" si="39"/>
        <v>0</v>
      </c>
      <c r="AT133" s="71">
        <f t="shared" si="40"/>
        <v>0</v>
      </c>
      <c r="AU133" s="306">
        <f t="shared" si="41"/>
        <v>0</v>
      </c>
      <c r="AV133" s="71">
        <f t="shared" si="42"/>
        <v>0</v>
      </c>
      <c r="AW133" s="71">
        <f t="shared" si="43"/>
        <v>0</v>
      </c>
      <c r="AX133" s="71">
        <f t="shared" si="44"/>
        <v>0</v>
      </c>
      <c r="AY133" s="113">
        <f t="shared" si="98"/>
        <v>0</v>
      </c>
      <c r="AZ133" s="113">
        <f t="shared" si="99"/>
        <v>0</v>
      </c>
      <c r="BA133" s="113">
        <f t="shared" si="92"/>
        <v>0</v>
      </c>
      <c r="BB133" s="113">
        <f t="shared" si="92"/>
        <v>0</v>
      </c>
      <c r="BC133" s="113">
        <f t="shared" si="92"/>
        <v>0</v>
      </c>
      <c r="BD133" s="113">
        <f t="shared" si="92"/>
        <v>0</v>
      </c>
      <c r="BE133" s="113">
        <f t="shared" si="92"/>
        <v>0</v>
      </c>
      <c r="BF133" s="113">
        <f t="shared" si="92"/>
        <v>0</v>
      </c>
      <c r="BG133" s="113">
        <f t="shared" si="92"/>
        <v>0</v>
      </c>
      <c r="BH133" s="113">
        <f t="shared" si="92"/>
        <v>0</v>
      </c>
      <c r="BI133" s="113">
        <f t="shared" si="92"/>
        <v>0</v>
      </c>
      <c r="BJ133" s="113">
        <f t="shared" si="92"/>
        <v>0</v>
      </c>
      <c r="BK133" s="113">
        <f t="shared" si="92"/>
        <v>0</v>
      </c>
      <c r="BL133" s="113">
        <f t="shared" si="92"/>
        <v>0</v>
      </c>
      <c r="BM133" s="113">
        <f t="shared" si="92"/>
        <v>0</v>
      </c>
      <c r="BN133" s="113">
        <f t="shared" si="92"/>
        <v>0</v>
      </c>
      <c r="BO133" s="113">
        <f t="shared" si="92"/>
        <v>0</v>
      </c>
      <c r="BP133" s="113">
        <f t="shared" si="92"/>
        <v>0</v>
      </c>
      <c r="BQ133" s="113">
        <f t="shared" si="93"/>
        <v>0</v>
      </c>
      <c r="BR133" s="113">
        <f t="shared" si="93"/>
        <v>0</v>
      </c>
      <c r="BS133" s="113">
        <f t="shared" si="47"/>
        <v>0</v>
      </c>
      <c r="BT133" s="113">
        <f t="shared" si="48"/>
        <v>0</v>
      </c>
      <c r="BU133" s="113"/>
      <c r="BV133" s="113"/>
      <c r="BW133" s="113"/>
      <c r="BX133" s="113"/>
      <c r="BY133" s="113"/>
      <c r="BZ133" s="113"/>
      <c r="CA133" s="113"/>
      <c r="CB133" s="113"/>
      <c r="CC133" s="113"/>
      <c r="CD133" s="113"/>
      <c r="CE133" s="113"/>
      <c r="CF133" s="113"/>
      <c r="CG133" s="113"/>
      <c r="CH133" s="113"/>
      <c r="CI133" s="108">
        <f t="shared" si="49"/>
      </c>
      <c r="CJ133" s="113"/>
      <c r="CK133" s="113"/>
      <c r="CL133" s="113"/>
      <c r="CM133" s="113"/>
    </row>
    <row r="134" spans="1:91" s="112" customFormat="1" ht="15">
      <c r="A134" s="103"/>
      <c r="B134" s="104"/>
      <c r="C134" s="115"/>
      <c r="D134" s="106"/>
      <c r="E134" s="107">
        <f>IF(kontonr="","",VLOOKUP(kontonr,kontoplan,2))</f>
      </c>
      <c r="F134" s="108">
        <f t="shared" si="8"/>
      </c>
      <c r="G134" s="109"/>
      <c r="H134" s="110"/>
      <c r="I134" s="486">
        <f>+debet-kredit-imva-invavg-umva</f>
        <v>0</v>
      </c>
      <c r="J134" s="486">
        <f t="shared" si="77"/>
        <v>0</v>
      </c>
      <c r="K134" s="486">
        <f t="shared" si="78"/>
        <v>0</v>
      </c>
      <c r="L134" s="111">
        <f t="shared" si="10"/>
        <v>0</v>
      </c>
      <c r="M134" s="176">
        <f t="shared" si="94"/>
        <v>0</v>
      </c>
      <c r="N134" s="177">
        <f t="shared" si="79"/>
        <v>0</v>
      </c>
      <c r="P134" s="306">
        <f t="shared" si="12"/>
        <v>0</v>
      </c>
      <c r="Q134" s="71">
        <f t="shared" si="13"/>
        <v>0</v>
      </c>
      <c r="R134" s="71">
        <f t="shared" si="14"/>
        <v>0</v>
      </c>
      <c r="S134" s="71">
        <f t="shared" si="15"/>
        <v>0</v>
      </c>
      <c r="T134" s="71">
        <f>IF(kontonr&gt;1499,IF(kontonr&lt;1560,$N134),0)+IF(kontonr&gt;(Kontoplan!P$3-1),IF(kontonr&lt;(Kontoplan!P$3+300),$N134,0),0)</f>
        <v>0</v>
      </c>
      <c r="U134" s="71">
        <f t="shared" si="16"/>
        <v>0</v>
      </c>
      <c r="V134" s="71">
        <f t="shared" si="17"/>
        <v>0</v>
      </c>
      <c r="W134" s="71">
        <f t="shared" si="18"/>
        <v>0</v>
      </c>
      <c r="X134" s="71">
        <f t="shared" si="19"/>
        <v>0</v>
      </c>
      <c r="Y134" s="71">
        <f t="shared" si="20"/>
        <v>0</v>
      </c>
      <c r="Z134" s="71">
        <f>IF(kontonr&gt;2399,IF(kontonr&lt;2500,$N134),0)+IF(kontonr&gt;(Kontoplan!$P$4-1),IF(kontonr&lt;(Kontoplan!$P$4+600),$N134,0),0)</f>
        <v>0</v>
      </c>
      <c r="AA134" s="71">
        <f t="shared" si="21"/>
        <v>0</v>
      </c>
      <c r="AB134" s="71">
        <f t="shared" si="22"/>
        <v>0</v>
      </c>
      <c r="AC134" s="71">
        <f t="shared" si="23"/>
        <v>0</v>
      </c>
      <c r="AD134" s="71">
        <f t="shared" si="24"/>
        <v>0</v>
      </c>
      <c r="AE134" s="71">
        <f t="shared" si="25"/>
        <v>0</v>
      </c>
      <c r="AF134" s="306">
        <f t="shared" si="26"/>
        <v>0</v>
      </c>
      <c r="AG134" s="74">
        <f t="shared" si="27"/>
        <v>0</v>
      </c>
      <c r="AH134" s="71">
        <f t="shared" si="28"/>
        <v>0</v>
      </c>
      <c r="AI134" s="71">
        <f t="shared" si="29"/>
        <v>0</v>
      </c>
      <c r="AJ134" s="71">
        <f t="shared" si="95"/>
        <v>0</v>
      </c>
      <c r="AK134" s="71">
        <f t="shared" si="31"/>
        <v>0</v>
      </c>
      <c r="AL134" s="71">
        <f t="shared" si="32"/>
        <v>0</v>
      </c>
      <c r="AM134" s="71">
        <f t="shared" si="96"/>
        <v>0</v>
      </c>
      <c r="AN134" s="71">
        <f t="shared" si="97"/>
        <v>0</v>
      </c>
      <c r="AO134" s="71">
        <f t="shared" si="35"/>
        <v>0</v>
      </c>
      <c r="AP134" s="71">
        <f t="shared" si="36"/>
        <v>0</v>
      </c>
      <c r="AQ134" s="71">
        <f t="shared" si="37"/>
        <v>0</v>
      </c>
      <c r="AR134" s="71">
        <f t="shared" si="38"/>
        <v>0</v>
      </c>
      <c r="AS134" s="71">
        <f t="shared" si="39"/>
        <v>0</v>
      </c>
      <c r="AT134" s="71">
        <f t="shared" si="40"/>
        <v>0</v>
      </c>
      <c r="AU134" s="306">
        <f t="shared" si="41"/>
        <v>0</v>
      </c>
      <c r="AV134" s="71">
        <f t="shared" si="42"/>
        <v>0</v>
      </c>
      <c r="AW134" s="71">
        <f t="shared" si="43"/>
        <v>0</v>
      </c>
      <c r="AX134" s="71">
        <f t="shared" si="44"/>
        <v>0</v>
      </c>
      <c r="AY134" s="113">
        <f t="shared" si="98"/>
        <v>0</v>
      </c>
      <c r="AZ134" s="113">
        <f t="shared" si="99"/>
        <v>0</v>
      </c>
      <c r="BA134" s="113">
        <f t="shared" si="92"/>
        <v>0</v>
      </c>
      <c r="BB134" s="113">
        <f t="shared" si="92"/>
        <v>0</v>
      </c>
      <c r="BC134" s="113">
        <f t="shared" si="92"/>
        <v>0</v>
      </c>
      <c r="BD134" s="113">
        <f t="shared" si="92"/>
        <v>0</v>
      </c>
      <c r="BE134" s="113">
        <f t="shared" si="92"/>
        <v>0</v>
      </c>
      <c r="BF134" s="113">
        <f t="shared" si="92"/>
        <v>0</v>
      </c>
      <c r="BG134" s="113">
        <f t="shared" si="92"/>
        <v>0</v>
      </c>
      <c r="BH134" s="113">
        <f t="shared" si="92"/>
        <v>0</v>
      </c>
      <c r="BI134" s="113">
        <f t="shared" si="92"/>
        <v>0</v>
      </c>
      <c r="BJ134" s="113">
        <f t="shared" si="92"/>
        <v>0</v>
      </c>
      <c r="BK134" s="113">
        <f t="shared" si="92"/>
        <v>0</v>
      </c>
      <c r="BL134" s="113">
        <f t="shared" si="92"/>
        <v>0</v>
      </c>
      <c r="BM134" s="113">
        <f t="shared" si="92"/>
        <v>0</v>
      </c>
      <c r="BN134" s="113">
        <f t="shared" si="92"/>
        <v>0</v>
      </c>
      <c r="BO134" s="113">
        <f t="shared" si="92"/>
        <v>0</v>
      </c>
      <c r="BP134" s="113">
        <f t="shared" si="92"/>
        <v>0</v>
      </c>
      <c r="BQ134" s="113">
        <f t="shared" si="93"/>
        <v>0</v>
      </c>
      <c r="BR134" s="113">
        <f t="shared" si="93"/>
        <v>0</v>
      </c>
      <c r="BS134" s="113">
        <f t="shared" si="47"/>
        <v>0</v>
      </c>
      <c r="BT134" s="113">
        <f t="shared" si="48"/>
        <v>0</v>
      </c>
      <c r="BU134" s="113"/>
      <c r="BV134" s="113"/>
      <c r="BW134" s="113"/>
      <c r="BX134" s="113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08">
        <f t="shared" si="49"/>
      </c>
      <c r="CJ134" s="113"/>
      <c r="CK134" s="113"/>
      <c r="CL134" s="113"/>
      <c r="CM134" s="113"/>
    </row>
    <row r="135" spans="1:91" s="112" customFormat="1" ht="15">
      <c r="A135" s="103"/>
      <c r="B135" s="104"/>
      <c r="C135" s="115"/>
      <c r="D135" s="106"/>
      <c r="E135" s="107">
        <f>IF(kontonr="","",VLOOKUP(kontonr,kontoplan,2))</f>
      </c>
      <c r="F135" s="108">
        <f>IF(kontonr="","",VLOOKUP(kontonr,kontoplan,3))</f>
      </c>
      <c r="G135" s="109"/>
      <c r="H135" s="110"/>
      <c r="I135" s="486">
        <f>+debet-kredit-imva-invavg-umva</f>
        <v>0</v>
      </c>
      <c r="J135" s="486">
        <f t="shared" si="77"/>
        <v>0</v>
      </c>
      <c r="K135" s="486">
        <f t="shared" si="78"/>
        <v>0</v>
      </c>
      <c r="L135" s="111">
        <f>IF(tekst="åpningsbalanse",0,IF(tekst="råbalanse",0,IF(tekst="balanse",0,IF(tekst="inngående balanse",0,IF(tekst="saldobalanse",0,IF(tekst="årsoppgjør",0,IF(mvakode=2,(+debet-kredit)/(1+mva)*-inv,0)))))))</f>
        <v>0</v>
      </c>
      <c r="M135" s="176">
        <f t="shared" si="94"/>
        <v>0</v>
      </c>
      <c r="N135" s="177">
        <f t="shared" si="79"/>
        <v>0</v>
      </c>
      <c r="P135" s="306">
        <f>IF(kontonr&gt;999,IF(kontonr&lt;1200,$N135,0),0)</f>
        <v>0</v>
      </c>
      <c r="Q135" s="71">
        <f>IF(kontonr&gt;1199,IF(kontonr&lt;1230,$I135,0),0)</f>
        <v>0</v>
      </c>
      <c r="R135" s="71">
        <f>IF(kontonr&gt;1229,IF(kontonr&lt;1400,$I135,0),0)</f>
        <v>0</v>
      </c>
      <c r="S135" s="71">
        <f>IF(kontonr&gt;1399,IF(kontonr&lt;1500,$N135,0),0)</f>
        <v>0</v>
      </c>
      <c r="T135" s="71">
        <f>IF(kontonr&gt;1499,IF(kontonr&lt;1560,$N135),0)+IF(kontonr&gt;(Kontoplan!P$3-1),IF(kontonr&lt;(Kontoplan!P$3+300),$N135,0),0)</f>
        <v>0</v>
      </c>
      <c r="U135" s="71">
        <f>IF(kontonr&gt;1559,IF(kontonr&lt;1900,$N135,0),0)</f>
        <v>0</v>
      </c>
      <c r="V135" s="71">
        <f>IF(kontonr&gt;1899,IF(kontonr&lt;2000,$N135,0),0)</f>
        <v>0</v>
      </c>
      <c r="W135" s="71">
        <f>IF(kontonr&gt;1999,IF(kontonr&lt;2100,$N135,0),0)</f>
        <v>0</v>
      </c>
      <c r="X135" s="71">
        <f>IF(kontonr&gt;2099,IF(kontonr&lt;2300,$N135,0),0)</f>
        <v>0</v>
      </c>
      <c r="Y135" s="71">
        <f>IF(kontonr&gt;2299,IF(kontonr&lt;2400,$N135,0),0)</f>
        <v>0</v>
      </c>
      <c r="Z135" s="71">
        <f>IF(kontonr&gt;2399,IF(kontonr&lt;2500,$N135),0)+IF(kontonr&gt;(Kontoplan!$P$4-1),IF(kontonr&lt;(Kontoplan!$P$4+600),$N135,0),0)</f>
        <v>0</v>
      </c>
      <c r="AA135" s="71">
        <f>IF(kontonr&gt;2499,IF(kontonr&lt;2600,$N135,0),0)</f>
        <v>0</v>
      </c>
      <c r="AB135" s="71">
        <f>IF(kontonr&gt;2599,IF(kontonr&lt;2700,$N135,0),0)</f>
        <v>0</v>
      </c>
      <c r="AC135" s="71">
        <f>IF(kontonr&gt;2699,IF(kontonr&lt;2800,$N135,0),0)</f>
        <v>0</v>
      </c>
      <c r="AD135" s="71">
        <f>IF(kontonr&gt;2799,IF(kontonr&lt;2900,$N135,0),0)</f>
        <v>0</v>
      </c>
      <c r="AE135" s="71">
        <f>IF(kontonr&gt;2899,IF(kontonr&lt;3000,$N135,0),0)</f>
        <v>0</v>
      </c>
      <c r="AF135" s="306">
        <f>IF(kontonr&gt;2999,IF(kontonr&lt;3500,$M135,0),0)</f>
        <v>0</v>
      </c>
      <c r="AG135" s="74">
        <f>IF(kontonr&gt;3499,IF(kontonr&lt;4000,$M135,0),0)</f>
        <v>0</v>
      </c>
      <c r="AH135" s="71">
        <f>IF(kontonr&gt;3999,IF(kontonr&lt;4190,$M135,0),0)+IF(kontonr&gt;4299,IF(kontonr&lt;5000,$M135,0),0)</f>
        <v>0</v>
      </c>
      <c r="AI135" s="71">
        <f>IF(kontonr&gt;4189,IF(kontonr&lt;4300,$M135,0),0)</f>
        <v>0</v>
      </c>
      <c r="AJ135" s="71">
        <f t="shared" si="95"/>
        <v>0</v>
      </c>
      <c r="AK135" s="71">
        <f>IF(kontonr&gt;5999,IF(kontonr&lt;6100,$M135,0),0)</f>
        <v>0</v>
      </c>
      <c r="AL135" s="71">
        <f>IF(kontonr&gt;6099,IF(kontonr&lt;8000,$M135,0),0)</f>
        <v>0</v>
      </c>
      <c r="AM135" s="71">
        <f t="shared" si="96"/>
        <v>0</v>
      </c>
      <c r="AN135" s="71">
        <f t="shared" si="97"/>
        <v>0</v>
      </c>
      <c r="AO135" s="71">
        <f>IF(kontonr&gt;8299,IF(kontonr&lt;8400,$M135,0),0)</f>
        <v>0</v>
      </c>
      <c r="AP135" s="71">
        <f>IF(kontonr&gt;8399,IF(kontonr&lt;8500,$I135,0),0)</f>
        <v>0</v>
      </c>
      <c r="AQ135" s="71">
        <f>IF(kontonr&gt;8499,IF(kontonr&lt;8600,$I135,0),0)</f>
        <v>0</v>
      </c>
      <c r="AR135" s="71">
        <f>IF(kontonr&gt;8599,IF(kontonr&lt;8700,$I135,0),0)</f>
        <v>0</v>
      </c>
      <c r="AS135" s="71">
        <f>IF(kontonr&gt;8919,IF(kontonr&lt;8930,$M135,0),0)</f>
        <v>0</v>
      </c>
      <c r="AT135" s="71">
        <f>IF(kontonr&gt;8899,IF(kontonr&lt;8920,$M135,0),0)+IF(kontonr&gt;8929,IF(kontonr&lt;9000,$M135,0),0)</f>
        <v>0</v>
      </c>
      <c r="AU135" s="306">
        <f>IF(kontonr&gt;1899,IF(kontonr&lt;1909,$N135,0),0)</f>
        <v>0</v>
      </c>
      <c r="AV135" s="71">
        <f>IF(kontonr&gt;1939,IF(kontonr&lt;1950,$N135,0),0)</f>
        <v>0</v>
      </c>
      <c r="AW135" s="71">
        <f>IF(kontonr&gt;1919,IF(kontonr&lt;2000,$N135,0),0)</f>
        <v>0</v>
      </c>
      <c r="AX135" s="71">
        <f>IF(kontonr&gt;2379,IF(kontonr&lt;2389,$N135,0),0)</f>
        <v>0</v>
      </c>
      <c r="AY135" s="113">
        <f t="shared" si="98"/>
        <v>0</v>
      </c>
      <c r="AZ135" s="113">
        <f t="shared" si="99"/>
        <v>0</v>
      </c>
      <c r="BA135" s="113">
        <f t="shared" si="92"/>
        <v>0</v>
      </c>
      <c r="BB135" s="113">
        <f t="shared" si="92"/>
        <v>0</v>
      </c>
      <c r="BC135" s="113">
        <f t="shared" si="92"/>
        <v>0</v>
      </c>
      <c r="BD135" s="113">
        <f t="shared" si="92"/>
        <v>0</v>
      </c>
      <c r="BE135" s="113">
        <f t="shared" si="92"/>
        <v>0</v>
      </c>
      <c r="BF135" s="113">
        <f t="shared" si="92"/>
        <v>0</v>
      </c>
      <c r="BG135" s="113">
        <f t="shared" si="92"/>
        <v>0</v>
      </c>
      <c r="BH135" s="113">
        <f t="shared" si="92"/>
        <v>0</v>
      </c>
      <c r="BI135" s="113">
        <f t="shared" si="92"/>
        <v>0</v>
      </c>
      <c r="BJ135" s="113">
        <f t="shared" si="92"/>
        <v>0</v>
      </c>
      <c r="BK135" s="113">
        <f t="shared" si="92"/>
        <v>0</v>
      </c>
      <c r="BL135" s="113">
        <f t="shared" si="92"/>
        <v>0</v>
      </c>
      <c r="BM135" s="113">
        <f t="shared" si="92"/>
        <v>0</v>
      </c>
      <c r="BN135" s="113">
        <f t="shared" si="92"/>
        <v>0</v>
      </c>
      <c r="BO135" s="113">
        <f t="shared" si="92"/>
        <v>0</v>
      </c>
      <c r="BP135" s="113">
        <f t="shared" si="92"/>
        <v>0</v>
      </c>
      <c r="BQ135" s="113">
        <f t="shared" si="93"/>
        <v>0</v>
      </c>
      <c r="BR135" s="113">
        <f t="shared" si="93"/>
        <v>0</v>
      </c>
      <c r="BS135" s="113">
        <f>IF(kontonr&gt;3099,IF(kontonr&lt;3200,$M135,0),0)</f>
        <v>0</v>
      </c>
      <c r="BT135" s="113">
        <f>IF(tekst="åpningsbalanse",0,IF(tekst="råbalanse",0,IF(tekst="balanse",0,IF(tekst="inngående balanse",0,IF(tekst="saldobalanse",0,IF(tekst="årsoppgjør",0,BS135))))))</f>
        <v>0</v>
      </c>
      <c r="BU135" s="113"/>
      <c r="BV135" s="113"/>
      <c r="BW135" s="113"/>
      <c r="BX135" s="113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08">
        <f>IF(kontonr="","",VLOOKUP(kontonr,kontoplan,3))</f>
      </c>
      <c r="CJ135" s="113"/>
      <c r="CK135" s="113"/>
      <c r="CL135" s="113"/>
      <c r="CM135" s="113"/>
    </row>
    <row r="136" spans="1:91" s="112" customFormat="1" ht="15">
      <c r="A136" s="103"/>
      <c r="B136" s="104"/>
      <c r="C136" s="115"/>
      <c r="D136" s="106"/>
      <c r="E136" s="107">
        <f>IF(kontonr="","",VLOOKUP(kontonr,kontoplan,2))</f>
      </c>
      <c r="F136" s="108">
        <f>IF(kontonr="","",VLOOKUP(kontonr,kontoplan,3))</f>
      </c>
      <c r="G136" s="109"/>
      <c r="H136" s="110"/>
      <c r="I136" s="486">
        <f>+debet-kredit-imva-invavg-umva</f>
        <v>0</v>
      </c>
      <c r="J136" s="486">
        <f t="shared" si="77"/>
        <v>0</v>
      </c>
      <c r="K136" s="486">
        <f t="shared" si="78"/>
        <v>0</v>
      </c>
      <c r="L136" s="111">
        <f>IF(tekst="åpningsbalanse",0,IF(tekst="råbalanse",0,IF(tekst="balanse",0,IF(tekst="inngående balanse",0,IF(tekst="saldobalanse",0,IF(tekst="årsoppgjør",0,IF(mvakode=2,(+debet-kredit)/(1+mva)*-inv,0)))))))</f>
        <v>0</v>
      </c>
      <c r="M136" s="176">
        <f t="shared" si="94"/>
        <v>0</v>
      </c>
      <c r="N136" s="177">
        <f t="shared" si="79"/>
        <v>0</v>
      </c>
      <c r="P136" s="306">
        <f>IF(kontonr&gt;999,IF(kontonr&lt;1200,$N136,0),0)</f>
        <v>0</v>
      </c>
      <c r="Q136" s="71">
        <f>IF(kontonr&gt;1199,IF(kontonr&lt;1230,$I136,0),0)</f>
        <v>0</v>
      </c>
      <c r="R136" s="71">
        <f>IF(kontonr&gt;1229,IF(kontonr&lt;1400,$I136,0),0)</f>
        <v>0</v>
      </c>
      <c r="S136" s="71">
        <f>IF(kontonr&gt;1399,IF(kontonr&lt;1500,$N136,0),0)</f>
        <v>0</v>
      </c>
      <c r="T136" s="71">
        <f>IF(kontonr&gt;1499,IF(kontonr&lt;1560,$N136),0)+IF(kontonr&gt;(Kontoplan!P$3-1),IF(kontonr&lt;(Kontoplan!P$3+300),$N136,0),0)</f>
        <v>0</v>
      </c>
      <c r="U136" s="71">
        <f>IF(kontonr&gt;1559,IF(kontonr&lt;1900,$N136,0),0)</f>
        <v>0</v>
      </c>
      <c r="V136" s="71">
        <f>IF(kontonr&gt;1899,IF(kontonr&lt;2000,$N136,0),0)</f>
        <v>0</v>
      </c>
      <c r="W136" s="71">
        <f>IF(kontonr&gt;1999,IF(kontonr&lt;2100,$N136,0),0)</f>
        <v>0</v>
      </c>
      <c r="X136" s="71">
        <f>IF(kontonr&gt;2099,IF(kontonr&lt;2300,$N136,0),0)</f>
        <v>0</v>
      </c>
      <c r="Y136" s="71">
        <f>IF(kontonr&gt;2299,IF(kontonr&lt;2400,$N136,0),0)</f>
        <v>0</v>
      </c>
      <c r="Z136" s="71">
        <f>IF(kontonr&gt;2399,IF(kontonr&lt;2500,$N136),0)+IF(kontonr&gt;(Kontoplan!$P$4-1),IF(kontonr&lt;(Kontoplan!$P$4+600),$N136,0),0)</f>
        <v>0</v>
      </c>
      <c r="AA136" s="71">
        <f>IF(kontonr&gt;2499,IF(kontonr&lt;2600,$N136,0),0)</f>
        <v>0</v>
      </c>
      <c r="AB136" s="71">
        <f>IF(kontonr&gt;2599,IF(kontonr&lt;2700,$N136,0),0)</f>
        <v>0</v>
      </c>
      <c r="AC136" s="71">
        <f>IF(kontonr&gt;2699,IF(kontonr&lt;2800,$N136,0),0)</f>
        <v>0</v>
      </c>
      <c r="AD136" s="71">
        <f>IF(kontonr&gt;2799,IF(kontonr&lt;2900,$N136,0),0)</f>
        <v>0</v>
      </c>
      <c r="AE136" s="71">
        <f>IF(kontonr&gt;2899,IF(kontonr&lt;3000,$N136,0),0)</f>
        <v>0</v>
      </c>
      <c r="AF136" s="306">
        <f>IF(kontonr&gt;2999,IF(kontonr&lt;3500,$M136,0),0)</f>
        <v>0</v>
      </c>
      <c r="AG136" s="74">
        <f>IF(kontonr&gt;3499,IF(kontonr&lt;4000,$M136,0),0)</f>
        <v>0</v>
      </c>
      <c r="AH136" s="71">
        <f>IF(kontonr&gt;3999,IF(kontonr&lt;4190,$M136,0),0)+IF(kontonr&gt;4299,IF(kontonr&lt;5000,$M136,0),0)</f>
        <v>0</v>
      </c>
      <c r="AI136" s="71">
        <f>IF(kontonr&gt;4189,IF(kontonr&lt;4300,$M136,0),0)</f>
        <v>0</v>
      </c>
      <c r="AJ136" s="71">
        <f t="shared" si="95"/>
        <v>0</v>
      </c>
      <c r="AK136" s="71">
        <f>IF(kontonr&gt;5999,IF(kontonr&lt;6100,$M136,0),0)</f>
        <v>0</v>
      </c>
      <c r="AL136" s="71">
        <f>IF(kontonr&gt;6099,IF(kontonr&lt;8000,$M136,0),0)</f>
        <v>0</v>
      </c>
      <c r="AM136" s="71">
        <f t="shared" si="96"/>
        <v>0</v>
      </c>
      <c r="AN136" s="71">
        <f t="shared" si="97"/>
        <v>0</v>
      </c>
      <c r="AO136" s="71">
        <f>IF(kontonr&gt;8299,IF(kontonr&lt;8400,$M136,0),0)</f>
        <v>0</v>
      </c>
      <c r="AP136" s="71">
        <f>IF(kontonr&gt;8399,IF(kontonr&lt;8500,$I136,0),0)</f>
        <v>0</v>
      </c>
      <c r="AQ136" s="71">
        <f>IF(kontonr&gt;8499,IF(kontonr&lt;8600,$I136,0),0)</f>
        <v>0</v>
      </c>
      <c r="AR136" s="71">
        <f>IF(kontonr&gt;8599,IF(kontonr&lt;8700,$I136,0),0)</f>
        <v>0</v>
      </c>
      <c r="AS136" s="71">
        <f>IF(kontonr&gt;8919,IF(kontonr&lt;8930,$M136,0),0)</f>
        <v>0</v>
      </c>
      <c r="AT136" s="71">
        <f>IF(kontonr&gt;8899,IF(kontonr&lt;8920,$M136,0),0)+IF(kontonr&gt;8929,IF(kontonr&lt;9000,$M136,0),0)</f>
        <v>0</v>
      </c>
      <c r="AU136" s="306">
        <f>IF(kontonr&gt;1899,IF(kontonr&lt;1909,$N136,0),0)</f>
        <v>0</v>
      </c>
      <c r="AV136" s="71">
        <f>IF(kontonr&gt;1939,IF(kontonr&lt;1950,$N136,0),0)</f>
        <v>0</v>
      </c>
      <c r="AW136" s="71">
        <f>IF(kontonr&gt;1919,IF(kontonr&lt;2000,$N136,0),0)</f>
        <v>0</v>
      </c>
      <c r="AX136" s="71">
        <f>IF(kontonr&gt;2379,IF(kontonr&lt;2389,$N136,0),0)</f>
        <v>0</v>
      </c>
      <c r="AY136" s="113">
        <f t="shared" si="98"/>
        <v>0</v>
      </c>
      <c r="AZ136" s="113">
        <f t="shared" si="99"/>
        <v>0</v>
      </c>
      <c r="BA136" s="113">
        <f t="shared" si="92"/>
        <v>0</v>
      </c>
      <c r="BB136" s="113">
        <f t="shared" si="92"/>
        <v>0</v>
      </c>
      <c r="BC136" s="113">
        <f t="shared" si="92"/>
        <v>0</v>
      </c>
      <c r="BD136" s="113">
        <f t="shared" si="92"/>
        <v>0</v>
      </c>
      <c r="BE136" s="113">
        <f t="shared" si="92"/>
        <v>0</v>
      </c>
      <c r="BF136" s="113">
        <f t="shared" si="92"/>
        <v>0</v>
      </c>
      <c r="BG136" s="113">
        <f t="shared" si="92"/>
        <v>0</v>
      </c>
      <c r="BH136" s="113">
        <f t="shared" si="92"/>
        <v>0</v>
      </c>
      <c r="BI136" s="113">
        <f t="shared" si="92"/>
        <v>0</v>
      </c>
      <c r="BJ136" s="113">
        <f t="shared" si="92"/>
        <v>0</v>
      </c>
      <c r="BK136" s="113">
        <f t="shared" si="92"/>
        <v>0</v>
      </c>
      <c r="BL136" s="113">
        <f t="shared" si="92"/>
        <v>0</v>
      </c>
      <c r="BM136" s="113">
        <f t="shared" si="92"/>
        <v>0</v>
      </c>
      <c r="BN136" s="113">
        <f t="shared" si="92"/>
        <v>0</v>
      </c>
      <c r="BO136" s="113">
        <f t="shared" si="92"/>
        <v>0</v>
      </c>
      <c r="BP136" s="113">
        <f t="shared" si="92"/>
        <v>0</v>
      </c>
      <c r="BQ136" s="113">
        <f t="shared" si="93"/>
        <v>0</v>
      </c>
      <c r="BR136" s="113">
        <f t="shared" si="93"/>
        <v>0</v>
      </c>
      <c r="BS136" s="113">
        <f>IF(kontonr&gt;3099,IF(kontonr&lt;3200,$M136,0),0)</f>
        <v>0</v>
      </c>
      <c r="BT136" s="113">
        <f>IF(tekst="åpningsbalanse",0,IF(tekst="råbalanse",0,IF(tekst="balanse",0,IF(tekst="inngående balanse",0,IF(tekst="saldobalanse",0,IF(tekst="årsoppgjør",0,BS136))))))</f>
        <v>0</v>
      </c>
      <c r="BU136" s="113"/>
      <c r="BV136" s="113"/>
      <c r="BW136" s="113"/>
      <c r="BX136" s="113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08">
        <f>IF(kontonr="","",VLOOKUP(kontonr,kontoplan,3))</f>
      </c>
      <c r="CJ136" s="113"/>
      <c r="CK136" s="113"/>
      <c r="CL136" s="113"/>
      <c r="CM136" s="113"/>
    </row>
    <row r="137" spans="1:91" s="112" customFormat="1" ht="15">
      <c r="A137" s="103"/>
      <c r="B137" s="116"/>
      <c r="C137" s="117"/>
      <c r="D137" s="118"/>
      <c r="E137" s="119">
        <f>IF(kontonr="","",VLOOKUP(kontonr,kontoplan,2))</f>
      </c>
      <c r="F137" s="120">
        <f>IF(kontonr="","",VLOOKUP(kontonr,kontoplan,3))</f>
      </c>
      <c r="G137" s="121"/>
      <c r="H137" s="122"/>
      <c r="I137" s="489">
        <f>+debet-kredit-imva-invavg-umva</f>
        <v>0</v>
      </c>
      <c r="J137" s="486">
        <f t="shared" si="77"/>
        <v>0</v>
      </c>
      <c r="K137" s="486">
        <f t="shared" si="78"/>
        <v>0</v>
      </c>
      <c r="L137" s="111">
        <f>IF(tekst="åpningsbalanse",0,IF(tekst="råbalanse",0,IF(tekst="balanse",0,IF(tekst="inngående balanse",0,IF(tekst="saldobalanse",0,IF(tekst="årsoppgjør",0,IF(mvakode=2,(+debet-kredit)/(1+mva)*-inv,0)))))))</f>
        <v>0</v>
      </c>
      <c r="M137" s="176">
        <f t="shared" si="94"/>
        <v>0</v>
      </c>
      <c r="N137" s="177">
        <f t="shared" si="79"/>
        <v>0</v>
      </c>
      <c r="P137" s="307">
        <f>IF(kontonr&gt;999,IF(kontonr&lt;1200,$N137,0),0)</f>
        <v>0</v>
      </c>
      <c r="Q137" s="170">
        <f>IF(kontonr&gt;1199,IF(kontonr&lt;1230,$I137,0),0)</f>
        <v>0</v>
      </c>
      <c r="R137" s="170">
        <f>IF(kontonr&gt;1229,IF(kontonr&lt;1400,$I137,0),0)</f>
        <v>0</v>
      </c>
      <c r="S137" s="170">
        <f>IF(kontonr&gt;1399,IF(kontonr&lt;1500,$N137,0),0)</f>
        <v>0</v>
      </c>
      <c r="T137" s="170">
        <f>IF(kontonr&gt;1499,IF(kontonr&lt;1560,$N137),0)+IF(kontonr&gt;(Kontoplan!P$3-1),IF(kontonr&lt;(Kontoplan!P$3+300),$N137,0),0)</f>
        <v>0</v>
      </c>
      <c r="U137" s="170">
        <f>IF(kontonr&gt;1559,IF(kontonr&lt;1900,$N137,0),0)</f>
        <v>0</v>
      </c>
      <c r="V137" s="170">
        <f>IF(kontonr&gt;1899,IF(kontonr&lt;2000,$N137,0),0)</f>
        <v>0</v>
      </c>
      <c r="W137" s="170">
        <f>IF(kontonr&gt;1999,IF(kontonr&lt;2100,$N137,0),0)</f>
        <v>0</v>
      </c>
      <c r="X137" s="170">
        <f>IF(kontonr&gt;2099,IF(kontonr&lt;2300,$N137,0),0)</f>
        <v>0</v>
      </c>
      <c r="Y137" s="170">
        <f>IF(kontonr&gt;2299,IF(kontonr&lt;2400,$N137,0),0)</f>
        <v>0</v>
      </c>
      <c r="Z137" s="170">
        <f>IF(kontonr&gt;2399,IF(kontonr&lt;2500,$N137),0)+IF(kontonr&gt;(Kontoplan!$P$4-1),IF(kontonr&lt;(Kontoplan!$P$4+600),$N137,0),0)</f>
        <v>0</v>
      </c>
      <c r="AA137" s="170">
        <f>IF(kontonr&gt;2499,IF(kontonr&lt;2600,$N137,0),0)</f>
        <v>0</v>
      </c>
      <c r="AB137" s="170">
        <f>IF(kontonr&gt;2599,IF(kontonr&lt;2700,$N137,0),0)</f>
        <v>0</v>
      </c>
      <c r="AC137" s="170">
        <f>IF(kontonr&gt;2699,IF(kontonr&lt;2800,$N137,0),0)</f>
        <v>0</v>
      </c>
      <c r="AD137" s="170">
        <f>IF(kontonr&gt;2799,IF(kontonr&lt;2900,$N137,0),0)</f>
        <v>0</v>
      </c>
      <c r="AE137" s="323">
        <f>IF(kontonr&gt;2899,IF(kontonr&lt;3000,$N137,0),0)</f>
        <v>0</v>
      </c>
      <c r="AF137" s="307">
        <f>IF(kontonr&gt;2999,IF(kontonr&lt;3500,$M137,0),0)</f>
        <v>0</v>
      </c>
      <c r="AG137" s="303">
        <f>IF(kontonr&gt;3499,IF(kontonr&lt;4000,$M137,0),0)</f>
        <v>0</v>
      </c>
      <c r="AH137" s="170">
        <f>IF(kontonr&gt;3999,IF(kontonr&lt;4190,$M137,0),0)+IF(kontonr&gt;4299,IF(kontonr&lt;5000,$M137,0),0)</f>
        <v>0</v>
      </c>
      <c r="AI137" s="170">
        <f>IF(kontonr&gt;4189,IF(kontonr&lt;4300,$M137,0),0)</f>
        <v>0</v>
      </c>
      <c r="AJ137" s="170">
        <f t="shared" si="95"/>
        <v>0</v>
      </c>
      <c r="AK137" s="170">
        <f>IF(kontonr&gt;5999,IF(kontonr&lt;6100,$M137,0),0)</f>
        <v>0</v>
      </c>
      <c r="AL137" s="170">
        <f>IF(kontonr&gt;6099,IF(kontonr&lt;8000,$M137,0),0)</f>
        <v>0</v>
      </c>
      <c r="AM137" s="170">
        <f t="shared" si="96"/>
        <v>0</v>
      </c>
      <c r="AN137" s="170">
        <f t="shared" si="97"/>
        <v>0</v>
      </c>
      <c r="AO137" s="170">
        <f>IF(kontonr&gt;8299,IF(kontonr&lt;8400,$M137,0),0)</f>
        <v>0</v>
      </c>
      <c r="AP137" s="170">
        <f>IF(kontonr&gt;8399,IF(kontonr&lt;8500,$I137,0),0)</f>
        <v>0</v>
      </c>
      <c r="AQ137" s="170">
        <f>IF(kontonr&gt;8499,IF(kontonr&lt;8600,$I137,0),0)</f>
        <v>0</v>
      </c>
      <c r="AR137" s="170">
        <f>IF(kontonr&gt;8599,IF(kontonr&lt;8700,$I137,0),0)</f>
        <v>0</v>
      </c>
      <c r="AS137" s="170">
        <f>IF(kontonr&gt;8919,IF(kontonr&lt;8930,$M137,0),0)</f>
        <v>0</v>
      </c>
      <c r="AT137" s="323">
        <f>IF(kontonr&gt;8899,IF(kontonr&lt;8920,$M137,0),0)+IF(kontonr&gt;8929,IF(kontonr&lt;9000,$M137,0),0)</f>
        <v>0</v>
      </c>
      <c r="AU137" s="307">
        <f>IF(kontonr&gt;1899,IF(kontonr&lt;1909,$N137,0),0)</f>
        <v>0</v>
      </c>
      <c r="AV137" s="170">
        <f>IF(kontonr&gt;1939,IF(kontonr&lt;1950,$N137,0),0)</f>
        <v>0</v>
      </c>
      <c r="AW137" s="170">
        <f>IF(kontonr&gt;1919,IF(kontonr&lt;2000,$N137,0),0)</f>
        <v>0</v>
      </c>
      <c r="AX137" s="170">
        <f>IF(kontonr&gt;2379,IF(kontonr&lt;2389,$N137,0),0)</f>
        <v>0</v>
      </c>
      <c r="AY137" s="169">
        <f t="shared" si="98"/>
        <v>0</v>
      </c>
      <c r="AZ137" s="169">
        <f t="shared" si="99"/>
        <v>0</v>
      </c>
      <c r="BA137" s="169">
        <f t="shared" si="92"/>
        <v>0</v>
      </c>
      <c r="BB137" s="169">
        <f t="shared" si="92"/>
        <v>0</v>
      </c>
      <c r="BC137" s="169">
        <f t="shared" si="92"/>
        <v>0</v>
      </c>
      <c r="BD137" s="169">
        <f t="shared" si="92"/>
        <v>0</v>
      </c>
      <c r="BE137" s="169">
        <f t="shared" si="92"/>
        <v>0</v>
      </c>
      <c r="BF137" s="169">
        <f t="shared" si="92"/>
        <v>0</v>
      </c>
      <c r="BG137" s="169">
        <f t="shared" si="92"/>
        <v>0</v>
      </c>
      <c r="BH137" s="169">
        <f t="shared" si="92"/>
        <v>0</v>
      </c>
      <c r="BI137" s="169">
        <f t="shared" si="92"/>
        <v>0</v>
      </c>
      <c r="BJ137" s="169">
        <f t="shared" si="92"/>
        <v>0</v>
      </c>
      <c r="BK137" s="169">
        <f t="shared" si="92"/>
        <v>0</v>
      </c>
      <c r="BL137" s="169">
        <f t="shared" si="92"/>
        <v>0</v>
      </c>
      <c r="BM137" s="169">
        <f t="shared" si="92"/>
        <v>0</v>
      </c>
      <c r="BN137" s="169">
        <f t="shared" si="92"/>
        <v>0</v>
      </c>
      <c r="BO137" s="169">
        <f t="shared" si="92"/>
        <v>0</v>
      </c>
      <c r="BP137" s="169">
        <f t="shared" si="92"/>
        <v>0</v>
      </c>
      <c r="BQ137" s="169">
        <f t="shared" si="93"/>
        <v>0</v>
      </c>
      <c r="BR137" s="169">
        <f t="shared" si="93"/>
        <v>0</v>
      </c>
      <c r="BS137" s="169">
        <f>IF(kontonr&gt;3099,IF(kontonr&lt;3200,$M137,0),0)</f>
        <v>0</v>
      </c>
      <c r="BT137" s="169">
        <f>IF(tekst="åpningsbalanse",0,IF(tekst="råbalanse",0,IF(tekst="balanse",0,IF(tekst="inngående balanse",0,IF(tekst="saldobalanse",0,IF(tekst="årsoppgjør",0,BS137))))))</f>
        <v>0</v>
      </c>
      <c r="BU137" s="113"/>
      <c r="BV137" s="113"/>
      <c r="BW137" s="113"/>
      <c r="BX137" s="113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20">
        <f>IF(kontonr="","",VLOOKUP(kontonr,kontoplan,3))</f>
      </c>
      <c r="CJ137" s="113"/>
      <c r="CK137" s="113"/>
      <c r="CL137" s="113"/>
      <c r="CM137" s="113"/>
    </row>
    <row r="138" spans="1:91" s="112" customFormat="1" ht="15.75" thickBot="1">
      <c r="A138" s="123"/>
      <c r="B138" s="124"/>
      <c r="C138" s="125"/>
      <c r="D138" s="126"/>
      <c r="E138" s="124">
        <f>IF(kontonr="","",VLOOKUP(kontonr,kontoplan,2))</f>
      </c>
      <c r="F138" s="127"/>
      <c r="G138" s="128">
        <f>SUM(G6:G137)</f>
        <v>0</v>
      </c>
      <c r="H138" s="129">
        <f>SUM(H6:H137)</f>
        <v>0</v>
      </c>
      <c r="I138" s="128">
        <f aca="true" t="shared" si="100" ref="I138:N138">SUM(I6:I137)</f>
        <v>0</v>
      </c>
      <c r="J138" s="128">
        <f>SUM(J6:J137)</f>
        <v>0</v>
      </c>
      <c r="K138" s="128">
        <f>SUM(K6:K137)</f>
        <v>0</v>
      </c>
      <c r="L138" s="130">
        <f t="shared" si="100"/>
        <v>0</v>
      </c>
      <c r="M138" s="131">
        <f t="shared" si="100"/>
        <v>0</v>
      </c>
      <c r="N138" s="130">
        <f t="shared" si="100"/>
        <v>0</v>
      </c>
      <c r="P138" s="308">
        <f aca="true" t="shared" si="101" ref="P138:V138">SUM(P6:P137)</f>
        <v>0</v>
      </c>
      <c r="Q138" s="169">
        <f t="shared" si="101"/>
        <v>0</v>
      </c>
      <c r="R138" s="169">
        <f t="shared" si="101"/>
        <v>0</v>
      </c>
      <c r="S138" s="169">
        <f t="shared" si="101"/>
        <v>0</v>
      </c>
      <c r="T138" s="169">
        <f t="shared" si="101"/>
        <v>0</v>
      </c>
      <c r="U138" s="169">
        <f t="shared" si="101"/>
        <v>0</v>
      </c>
      <c r="V138" s="169">
        <f t="shared" si="101"/>
        <v>0</v>
      </c>
      <c r="W138" s="169">
        <f aca="true" t="shared" si="102" ref="W138:AB138">-SUM(W6:W137)</f>
        <v>0</v>
      </c>
      <c r="X138" s="169">
        <f t="shared" si="102"/>
        <v>0</v>
      </c>
      <c r="Y138" s="169">
        <f t="shared" si="102"/>
        <v>0</v>
      </c>
      <c r="Z138" s="169">
        <f t="shared" si="102"/>
        <v>0</v>
      </c>
      <c r="AA138" s="169">
        <f t="shared" si="102"/>
        <v>0</v>
      </c>
      <c r="AB138" s="169">
        <f t="shared" si="102"/>
        <v>0</v>
      </c>
      <c r="AC138" s="392">
        <f>-SUM(AC6:AC137)-K138-J138-L138</f>
        <v>0</v>
      </c>
      <c r="AD138" s="169">
        <f>-SUM(AD6:AD137)</f>
        <v>0</v>
      </c>
      <c r="AE138" s="169">
        <f>-SUM(AE6:AE137)</f>
        <v>0</v>
      </c>
      <c r="AF138" s="308">
        <f>SUM(AF6:AF137)</f>
        <v>0</v>
      </c>
      <c r="AG138" s="303">
        <f>SUM(AG6:AG137)</f>
        <v>0</v>
      </c>
      <c r="AH138" s="169">
        <f>-SUM(AH6:AH137)</f>
        <v>0</v>
      </c>
      <c r="AI138" s="169">
        <f>-SUM(AI6:AI137)</f>
        <v>0</v>
      </c>
      <c r="AJ138" s="169">
        <f>-SUM(AJ6:AJ137)</f>
        <v>0</v>
      </c>
      <c r="AK138" s="169">
        <f>-SUM(AK6:AK137)</f>
        <v>0</v>
      </c>
      <c r="AL138" s="169">
        <f>-SUM(AL6:AL137)</f>
        <v>0</v>
      </c>
      <c r="AM138" s="169">
        <f>SUM(AM6:AM137)</f>
        <v>0</v>
      </c>
      <c r="AN138" s="169">
        <f>-SUM(AN6:AN137)</f>
        <v>0</v>
      </c>
      <c r="AO138" s="169">
        <f>-SUM(AO7:AO137)</f>
        <v>0</v>
      </c>
      <c r="AP138" s="170">
        <f>-SUM(AP6:AP137)</f>
        <v>0</v>
      </c>
      <c r="AQ138" s="170">
        <f>SUM(AQ6:AQ137)</f>
        <v>0</v>
      </c>
      <c r="AR138" s="170">
        <f>SUM(AR6:AR137)</f>
        <v>0</v>
      </c>
      <c r="AS138" s="169">
        <f>-SUM(AS6:AS137)</f>
        <v>0</v>
      </c>
      <c r="AT138" s="169">
        <f>-SUM(AT6:AT137)</f>
        <v>0</v>
      </c>
      <c r="AU138" s="308">
        <f>SUM(AU6:AU137)</f>
        <v>0</v>
      </c>
      <c r="AV138" s="169">
        <f>SUM(AV6:AV137)</f>
        <v>0</v>
      </c>
      <c r="AW138" s="169">
        <f>SUM(AW6:AW137)</f>
        <v>0</v>
      </c>
      <c r="AX138" s="169">
        <f>-SUM(AX6:AX137)</f>
        <v>0</v>
      </c>
      <c r="AY138" s="169">
        <f>SUM(AY6:AY137)</f>
        <v>0</v>
      </c>
      <c r="AZ138" s="169">
        <f aca="true" t="shared" si="103" ref="AZ138:BH138">SUM(AZ6:AZ137)</f>
        <v>0</v>
      </c>
      <c r="BA138" s="169">
        <f t="shared" si="103"/>
        <v>0</v>
      </c>
      <c r="BB138" s="169">
        <f t="shared" si="103"/>
        <v>0</v>
      </c>
      <c r="BC138" s="169">
        <f t="shared" si="103"/>
        <v>0</v>
      </c>
      <c r="BD138" s="169">
        <f t="shared" si="103"/>
        <v>0</v>
      </c>
      <c r="BE138" s="169">
        <f t="shared" si="103"/>
        <v>0</v>
      </c>
      <c r="BF138" s="169">
        <f t="shared" si="103"/>
        <v>0</v>
      </c>
      <c r="BG138" s="169">
        <f t="shared" si="103"/>
        <v>0</v>
      </c>
      <c r="BH138" s="169">
        <f t="shared" si="103"/>
        <v>0</v>
      </c>
      <c r="BI138" s="169">
        <f aca="true" t="shared" si="104" ref="BI138:BP138">-SUM(BI6:BI137)</f>
        <v>0</v>
      </c>
      <c r="BJ138" s="169">
        <f t="shared" si="104"/>
        <v>0</v>
      </c>
      <c r="BK138" s="169">
        <f t="shared" si="104"/>
        <v>0</v>
      </c>
      <c r="BL138" s="169">
        <f t="shared" si="104"/>
        <v>0</v>
      </c>
      <c r="BM138" s="169">
        <f t="shared" si="104"/>
        <v>0</v>
      </c>
      <c r="BN138" s="169">
        <f t="shared" si="104"/>
        <v>0</v>
      </c>
      <c r="BO138" s="169">
        <f t="shared" si="104"/>
        <v>0</v>
      </c>
      <c r="BP138" s="169">
        <f t="shared" si="104"/>
        <v>0</v>
      </c>
      <c r="BQ138" s="169">
        <f>-SUM(BQ6:BQ137)</f>
        <v>0</v>
      </c>
      <c r="BR138" s="169">
        <f>-SUM(BR6:BR137)</f>
        <v>0</v>
      </c>
      <c r="BS138" s="169">
        <f>SUM(BS6:BS137)</f>
        <v>0</v>
      </c>
      <c r="BT138" s="169">
        <f>SUM(BT6:BT137)</f>
        <v>0</v>
      </c>
      <c r="BU138" s="113"/>
      <c r="BV138" s="113"/>
      <c r="BW138" s="113"/>
      <c r="BX138" s="113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113"/>
      <c r="CL138" s="113"/>
      <c r="CM138" s="113"/>
    </row>
    <row r="204" spans="15:22" ht="12.75">
      <c r="O204" s="114"/>
      <c r="V204" s="114"/>
    </row>
    <row r="205" spans="15:22" ht="12.75">
      <c r="O205" s="114"/>
      <c r="V205" s="114"/>
    </row>
    <row r="206" spans="15:22" ht="12.75">
      <c r="O206" s="114"/>
      <c r="V206" s="114"/>
    </row>
    <row r="207" spans="15:22" ht="12.75">
      <c r="O207" s="114"/>
      <c r="V207" s="114"/>
    </row>
    <row r="208" spans="15:22" ht="12.75">
      <c r="O208" s="114"/>
      <c r="V208" s="114"/>
    </row>
    <row r="209" spans="15:22" ht="12.75">
      <c r="O209" s="114"/>
      <c r="V209" s="114"/>
    </row>
    <row r="210" spans="15:22" ht="12.75">
      <c r="O210" s="114"/>
      <c r="V210" s="114"/>
    </row>
    <row r="211" spans="15:22" ht="12.75">
      <c r="O211" s="114"/>
      <c r="V211" s="114"/>
    </row>
    <row r="212" spans="15:22" ht="12.75">
      <c r="O212" s="114"/>
      <c r="V212" s="114"/>
    </row>
    <row r="213" spans="15:22" ht="12.75">
      <c r="O213" s="114"/>
      <c r="V213" s="114"/>
    </row>
    <row r="214" spans="15:22" ht="12.75">
      <c r="O214" s="114"/>
      <c r="V214" s="114"/>
    </row>
    <row r="215" spans="15:22" ht="12.75">
      <c r="O215" s="114"/>
      <c r="V215" s="114"/>
    </row>
    <row r="216" spans="15:22" ht="12.75">
      <c r="O216" s="114"/>
      <c r="V216" s="114"/>
    </row>
    <row r="217" spans="15:22" ht="12.75">
      <c r="O217" s="114"/>
      <c r="V217" s="114"/>
    </row>
    <row r="218" spans="15:22" ht="12.75">
      <c r="O218" s="114"/>
      <c r="V218" s="114"/>
    </row>
    <row r="219" spans="15:22" ht="12.75">
      <c r="O219" s="114"/>
      <c r="V219" s="114"/>
    </row>
    <row r="220" spans="15:22" ht="12.75">
      <c r="O220" s="114"/>
      <c r="V220" s="114"/>
    </row>
    <row r="221" spans="15:22" ht="12.75">
      <c r="O221" s="114"/>
      <c r="V221" s="114"/>
    </row>
    <row r="222" spans="15:22" ht="12.75">
      <c r="O222" s="114"/>
      <c r="V222" s="114"/>
    </row>
    <row r="223" spans="15:22" ht="12.75">
      <c r="O223" s="114"/>
      <c r="V223" s="114"/>
    </row>
    <row r="224" spans="15:22" ht="12.75">
      <c r="O224" s="114"/>
      <c r="V224" s="114"/>
    </row>
    <row r="225" spans="15:22" ht="12.75">
      <c r="O225" s="114"/>
      <c r="V225" s="114"/>
    </row>
    <row r="226" spans="15:22" ht="12.75">
      <c r="O226" s="114"/>
      <c r="V226" s="114"/>
    </row>
    <row r="227" spans="15:22" ht="12.75">
      <c r="O227" s="114"/>
      <c r="V227" s="114"/>
    </row>
    <row r="228" spans="15:22" ht="12.75">
      <c r="O228" s="114"/>
      <c r="V228" s="114"/>
    </row>
    <row r="229" spans="15:22" ht="12.75">
      <c r="O229" s="114"/>
      <c r="V229" s="114"/>
    </row>
    <row r="230" spans="15:22" ht="12.75">
      <c r="O230" s="114"/>
      <c r="V230" s="114"/>
    </row>
    <row r="231" spans="15:22" ht="12.75">
      <c r="O231" s="114"/>
      <c r="V231" s="114"/>
    </row>
    <row r="232" spans="15:22" ht="12.75">
      <c r="O232" s="114"/>
      <c r="V232" s="114"/>
    </row>
    <row r="233" spans="15:22" ht="12.75">
      <c r="O233" s="114"/>
      <c r="V233" s="114"/>
    </row>
    <row r="234" spans="15:22" ht="12.75">
      <c r="O234" s="114"/>
      <c r="V234" s="114"/>
    </row>
    <row r="235" spans="15:22" ht="12.75">
      <c r="O235" s="114"/>
      <c r="V235" s="114"/>
    </row>
    <row r="236" spans="15:22" ht="12.75">
      <c r="O236" s="114"/>
      <c r="V236" s="114"/>
    </row>
    <row r="237" spans="15:22" ht="12.75">
      <c r="O237" s="114"/>
      <c r="V237" s="114"/>
    </row>
    <row r="238" spans="15:22" ht="12.75">
      <c r="O238" s="114"/>
      <c r="V238" s="114"/>
    </row>
    <row r="239" spans="15:22" ht="12.75">
      <c r="O239" s="114"/>
      <c r="V239" s="114"/>
    </row>
    <row r="240" spans="15:22" ht="12.75">
      <c r="O240" s="114"/>
      <c r="V240" s="114"/>
    </row>
    <row r="241" spans="2:22" ht="12.75">
      <c r="B241" s="114"/>
      <c r="C241" s="114"/>
      <c r="D241" s="114"/>
      <c r="F241" s="113"/>
      <c r="O241" s="114"/>
      <c r="V241" s="114"/>
    </row>
    <row r="242" spans="2:22" ht="12.75">
      <c r="B242" s="114"/>
      <c r="C242" s="114"/>
      <c r="D242" s="114"/>
      <c r="E242" s="114"/>
      <c r="F242" s="114"/>
      <c r="G242" s="114"/>
      <c r="H242" s="114"/>
      <c r="O242" s="114"/>
      <c r="V242" s="114"/>
    </row>
    <row r="243" spans="2:22" ht="12.75">
      <c r="B243" s="114"/>
      <c r="C243" s="114"/>
      <c r="D243" s="114"/>
      <c r="E243" s="114"/>
      <c r="F243" s="114"/>
      <c r="G243" s="114"/>
      <c r="H243" s="114"/>
      <c r="O243" s="114"/>
      <c r="V243" s="114"/>
    </row>
    <row r="244" spans="2:22" ht="12.75">
      <c r="B244" s="114"/>
      <c r="C244" s="114"/>
      <c r="D244" s="114"/>
      <c r="E244" s="114"/>
      <c r="F244" s="114"/>
      <c r="G244" s="114"/>
      <c r="H244" s="114"/>
      <c r="O244" s="114"/>
      <c r="V244" s="114"/>
    </row>
    <row r="245" spans="2:22" ht="12.75">
      <c r="B245" s="114"/>
      <c r="C245" s="114"/>
      <c r="D245" s="114"/>
      <c r="E245" s="114"/>
      <c r="F245" s="114"/>
      <c r="G245" s="114"/>
      <c r="H245" s="114"/>
      <c r="O245" s="114"/>
      <c r="V245" s="114"/>
    </row>
    <row r="246" spans="2:22" ht="12.75">
      <c r="B246" s="114"/>
      <c r="C246" s="114"/>
      <c r="D246" s="114"/>
      <c r="E246" s="114"/>
      <c r="F246" s="114"/>
      <c r="G246" s="114"/>
      <c r="H246" s="114"/>
      <c r="O246" s="114"/>
      <c r="V246" s="114"/>
    </row>
    <row r="247" spans="2:22" ht="12.75">
      <c r="B247" s="114"/>
      <c r="C247" s="114"/>
      <c r="D247" s="114"/>
      <c r="E247" s="114"/>
      <c r="F247" s="114"/>
      <c r="G247" s="114"/>
      <c r="H247" s="114"/>
      <c r="O247" s="114"/>
      <c r="V247" s="114"/>
    </row>
    <row r="248" spans="2:22" ht="12.75">
      <c r="B248" s="114"/>
      <c r="C248" s="114"/>
      <c r="D248" s="114"/>
      <c r="E248" s="114"/>
      <c r="F248" s="114"/>
      <c r="G248" s="114"/>
      <c r="H248" s="114"/>
      <c r="O248" s="114"/>
      <c r="V248" s="114"/>
    </row>
    <row r="249" spans="2:22" ht="12.75">
      <c r="B249" s="114"/>
      <c r="C249" s="114"/>
      <c r="D249" s="114"/>
      <c r="E249" s="114"/>
      <c r="F249" s="114"/>
      <c r="G249" s="114"/>
      <c r="H249" s="114"/>
      <c r="O249" s="114"/>
      <c r="V249" s="114"/>
    </row>
    <row r="250" spans="2:22" ht="12.75">
      <c r="B250" s="114"/>
      <c r="C250" s="114"/>
      <c r="D250" s="114"/>
      <c r="E250" s="114"/>
      <c r="F250" s="114"/>
      <c r="G250" s="114"/>
      <c r="H250" s="114"/>
      <c r="O250" s="114"/>
      <c r="V250" s="114"/>
    </row>
    <row r="251" spans="2:22" ht="12.75">
      <c r="B251" s="114"/>
      <c r="C251" s="114"/>
      <c r="D251" s="114"/>
      <c r="E251" s="114"/>
      <c r="F251" s="114"/>
      <c r="G251" s="114"/>
      <c r="H251" s="114"/>
      <c r="O251" s="114"/>
      <c r="V251" s="114"/>
    </row>
    <row r="252" spans="2:22" ht="12.75">
      <c r="B252" s="114"/>
      <c r="C252" s="114"/>
      <c r="D252" s="114"/>
      <c r="E252" s="114"/>
      <c r="F252" s="114"/>
      <c r="G252" s="114"/>
      <c r="H252" s="114"/>
      <c r="O252" s="114"/>
      <c r="V252" s="114"/>
    </row>
    <row r="253" spans="2:22" ht="12.75">
      <c r="B253" s="114"/>
      <c r="C253" s="114"/>
      <c r="D253" s="114"/>
      <c r="E253" s="114"/>
      <c r="F253" s="114"/>
      <c r="G253" s="114"/>
      <c r="H253" s="114"/>
      <c r="O253" s="114"/>
      <c r="V253" s="114"/>
    </row>
    <row r="254" spans="2:22" ht="12.75">
      <c r="B254" s="114"/>
      <c r="C254" s="114"/>
      <c r="D254" s="114"/>
      <c r="E254" s="114"/>
      <c r="F254" s="114"/>
      <c r="G254" s="114"/>
      <c r="H254" s="114"/>
      <c r="O254" s="114"/>
      <c r="V254" s="114"/>
    </row>
    <row r="255" spans="2:22" ht="12.75">
      <c r="B255" s="114"/>
      <c r="C255" s="114"/>
      <c r="D255" s="114"/>
      <c r="E255" s="114"/>
      <c r="F255" s="114"/>
      <c r="G255" s="114"/>
      <c r="H255" s="114"/>
      <c r="O255" s="114"/>
      <c r="V255" s="114"/>
    </row>
    <row r="256" spans="2:22" ht="12.75">
      <c r="B256" s="114"/>
      <c r="C256" s="114"/>
      <c r="D256" s="114"/>
      <c r="E256" s="114"/>
      <c r="F256" s="114"/>
      <c r="G256" s="114"/>
      <c r="H256" s="114"/>
      <c r="O256" s="114"/>
      <c r="V256" s="114"/>
    </row>
    <row r="257" spans="2:22" ht="12.75">
      <c r="B257" s="114"/>
      <c r="C257" s="114"/>
      <c r="D257" s="114"/>
      <c r="E257" s="114"/>
      <c r="F257" s="114"/>
      <c r="G257" s="114"/>
      <c r="H257" s="114"/>
      <c r="O257" s="114"/>
      <c r="V257" s="114"/>
    </row>
    <row r="258" spans="2:22" ht="12.75">
      <c r="B258" s="114"/>
      <c r="C258" s="114"/>
      <c r="D258" s="114"/>
      <c r="E258" s="114"/>
      <c r="F258" s="114"/>
      <c r="G258" s="114"/>
      <c r="H258" s="114"/>
      <c r="O258" s="114"/>
      <c r="V258" s="114"/>
    </row>
    <row r="259" spans="2:22" ht="12.75">
      <c r="B259" s="114"/>
      <c r="C259" s="114"/>
      <c r="D259" s="114"/>
      <c r="E259" s="114"/>
      <c r="F259" s="114"/>
      <c r="G259" s="114"/>
      <c r="H259" s="114"/>
      <c r="O259" s="114"/>
      <c r="V259" s="114"/>
    </row>
    <row r="260" spans="2:22" ht="12.75">
      <c r="B260" s="114"/>
      <c r="C260" s="114"/>
      <c r="D260" s="114"/>
      <c r="E260" s="114"/>
      <c r="F260" s="114"/>
      <c r="G260" s="114"/>
      <c r="H260" s="114"/>
      <c r="O260" s="114"/>
      <c r="V260" s="114"/>
    </row>
    <row r="261" spans="2:22" ht="12.75">
      <c r="B261" s="114"/>
      <c r="C261" s="114"/>
      <c r="D261" s="114"/>
      <c r="E261" s="114"/>
      <c r="F261" s="114"/>
      <c r="G261" s="114"/>
      <c r="H261" s="114"/>
      <c r="O261" s="114"/>
      <c r="V261" s="114"/>
    </row>
    <row r="262" spans="2:22" ht="12.75">
      <c r="B262" s="114"/>
      <c r="C262" s="114"/>
      <c r="D262" s="114"/>
      <c r="E262" s="114"/>
      <c r="F262" s="114"/>
      <c r="G262" s="114"/>
      <c r="H262" s="114"/>
      <c r="O262" s="114"/>
      <c r="V262" s="114"/>
    </row>
    <row r="263" spans="2:22" ht="12.75">
      <c r="B263" s="114"/>
      <c r="C263" s="114"/>
      <c r="D263" s="114"/>
      <c r="E263" s="114"/>
      <c r="F263" s="114"/>
      <c r="G263" s="114"/>
      <c r="H263" s="114"/>
      <c r="O263" s="114"/>
      <c r="V263" s="114"/>
    </row>
    <row r="264" spans="2:22" ht="12.75">
      <c r="B264" s="114"/>
      <c r="C264" s="114"/>
      <c r="D264" s="114"/>
      <c r="E264" s="114"/>
      <c r="F264" s="114"/>
      <c r="G264" s="114"/>
      <c r="H264" s="114"/>
      <c r="O264" s="114"/>
      <c r="V264" s="114"/>
    </row>
    <row r="265" spans="2:22" ht="12.75">
      <c r="B265" s="114"/>
      <c r="C265" s="114"/>
      <c r="D265" s="114"/>
      <c r="E265" s="114"/>
      <c r="F265" s="114"/>
      <c r="G265" s="114"/>
      <c r="H265" s="114"/>
      <c r="O265" s="114"/>
      <c r="V265" s="114"/>
    </row>
    <row r="266" spans="2:22" ht="12.75">
      <c r="B266" s="114"/>
      <c r="C266" s="114"/>
      <c r="D266" s="114"/>
      <c r="E266" s="114"/>
      <c r="F266" s="114"/>
      <c r="G266" s="114"/>
      <c r="H266" s="114"/>
      <c r="O266" s="114"/>
      <c r="V266" s="114"/>
    </row>
    <row r="267" spans="2:22" ht="12.75">
      <c r="B267" s="114"/>
      <c r="C267" s="114"/>
      <c r="D267" s="114"/>
      <c r="E267" s="114"/>
      <c r="F267" s="114"/>
      <c r="G267" s="114"/>
      <c r="H267" s="114"/>
      <c r="O267" s="114"/>
      <c r="V267" s="114"/>
    </row>
    <row r="268" spans="2:22" ht="12.75">
      <c r="B268" s="114"/>
      <c r="C268" s="114"/>
      <c r="D268" s="114"/>
      <c r="E268" s="114"/>
      <c r="F268" s="114"/>
      <c r="G268" s="114"/>
      <c r="H268" s="114"/>
      <c r="O268" s="114"/>
      <c r="V268" s="114"/>
    </row>
    <row r="269" spans="2:22" ht="12.75">
      <c r="B269" s="114"/>
      <c r="C269" s="114"/>
      <c r="D269" s="114"/>
      <c r="E269" s="114"/>
      <c r="F269" s="114"/>
      <c r="G269" s="114"/>
      <c r="H269" s="114"/>
      <c r="O269" s="114"/>
      <c r="V269" s="114"/>
    </row>
    <row r="270" spans="2:22" ht="12.75">
      <c r="B270" s="114"/>
      <c r="C270" s="114"/>
      <c r="D270" s="114"/>
      <c r="E270" s="114"/>
      <c r="F270" s="114"/>
      <c r="G270" s="114"/>
      <c r="H270" s="114"/>
      <c r="O270" s="114"/>
      <c r="V270" s="114"/>
    </row>
    <row r="271" spans="2:22" ht="12.75">
      <c r="B271" s="114"/>
      <c r="C271" s="114"/>
      <c r="D271" s="114"/>
      <c r="E271" s="114"/>
      <c r="F271" s="114"/>
      <c r="G271" s="114"/>
      <c r="H271" s="114"/>
      <c r="O271" s="114"/>
      <c r="V271" s="114"/>
    </row>
    <row r="272" spans="2:22" ht="12.75">
      <c r="B272" s="114"/>
      <c r="C272" s="114"/>
      <c r="D272" s="114"/>
      <c r="E272" s="114"/>
      <c r="F272" s="114"/>
      <c r="G272" s="114"/>
      <c r="H272" s="114"/>
      <c r="O272" s="114"/>
      <c r="V272" s="114"/>
    </row>
    <row r="273" spans="2:22" ht="12.75">
      <c r="B273" s="114"/>
      <c r="C273" s="114"/>
      <c r="D273" s="114"/>
      <c r="E273" s="114"/>
      <c r="F273" s="114"/>
      <c r="G273" s="114"/>
      <c r="H273" s="114"/>
      <c r="O273" s="114"/>
      <c r="V273" s="114"/>
    </row>
    <row r="274" spans="2:22" ht="12.75">
      <c r="B274" s="114"/>
      <c r="C274" s="114"/>
      <c r="D274" s="114"/>
      <c r="E274" s="114"/>
      <c r="F274" s="114"/>
      <c r="G274" s="114"/>
      <c r="H274" s="114"/>
      <c r="O274" s="114"/>
      <c r="V274" s="114"/>
    </row>
    <row r="275" spans="2:22" ht="12.75">
      <c r="B275" s="114"/>
      <c r="C275" s="114"/>
      <c r="D275" s="114"/>
      <c r="E275" s="114"/>
      <c r="F275" s="114"/>
      <c r="G275" s="114"/>
      <c r="H275" s="114"/>
      <c r="O275" s="114"/>
      <c r="V275" s="114"/>
    </row>
    <row r="276" spans="2:22" ht="12.75">
      <c r="B276" s="114"/>
      <c r="C276" s="114"/>
      <c r="D276" s="114"/>
      <c r="E276" s="114"/>
      <c r="F276" s="114"/>
      <c r="G276" s="114"/>
      <c r="H276" s="114"/>
      <c r="O276" s="114"/>
      <c r="V276" s="114"/>
    </row>
    <row r="277" spans="2:22" ht="12.75">
      <c r="B277" s="114"/>
      <c r="C277" s="114"/>
      <c r="D277" s="114"/>
      <c r="E277" s="114"/>
      <c r="F277" s="114"/>
      <c r="G277" s="114"/>
      <c r="H277" s="114"/>
      <c r="O277" s="114"/>
      <c r="V277" s="114"/>
    </row>
    <row r="278" spans="2:22" ht="12.75">
      <c r="B278" s="114"/>
      <c r="C278" s="114"/>
      <c r="D278" s="114"/>
      <c r="E278" s="114"/>
      <c r="F278" s="114"/>
      <c r="G278" s="114"/>
      <c r="H278" s="114"/>
      <c r="O278" s="114"/>
      <c r="V278" s="114"/>
    </row>
    <row r="279" spans="2:22" ht="12.75">
      <c r="B279" s="114"/>
      <c r="C279" s="114"/>
      <c r="D279" s="114"/>
      <c r="E279" s="114"/>
      <c r="F279" s="114"/>
      <c r="G279" s="114"/>
      <c r="H279" s="114"/>
      <c r="O279" s="114"/>
      <c r="V279" s="114"/>
    </row>
    <row r="280" spans="2:22" ht="12.75">
      <c r="B280" s="114"/>
      <c r="C280" s="114"/>
      <c r="D280" s="114"/>
      <c r="E280" s="114"/>
      <c r="F280" s="114"/>
      <c r="G280" s="114"/>
      <c r="H280" s="114"/>
      <c r="O280" s="114"/>
      <c r="V280" s="114"/>
    </row>
    <row r="281" spans="2:22" ht="12.75">
      <c r="B281" s="114"/>
      <c r="C281" s="114"/>
      <c r="D281" s="114"/>
      <c r="E281" s="114"/>
      <c r="F281" s="114"/>
      <c r="G281" s="114"/>
      <c r="H281" s="114"/>
      <c r="O281" s="114"/>
      <c r="V281" s="114"/>
    </row>
    <row r="282" spans="2:8" ht="12.75">
      <c r="B282" s="114"/>
      <c r="C282" s="114"/>
      <c r="D282" s="114"/>
      <c r="E282" s="114"/>
      <c r="F282" s="114"/>
      <c r="G282" s="114"/>
      <c r="H282" s="114"/>
    </row>
    <row r="283" spans="2:8" ht="12.75">
      <c r="B283" s="114"/>
      <c r="C283" s="114"/>
      <c r="D283" s="114"/>
      <c r="E283" s="114"/>
      <c r="F283" s="114"/>
      <c r="G283" s="114"/>
      <c r="H283" s="114"/>
    </row>
    <row r="284" spans="2:8" ht="12.75">
      <c r="B284" s="114"/>
      <c r="C284" s="114"/>
      <c r="D284" s="114"/>
      <c r="E284" s="114"/>
      <c r="F284" s="114"/>
      <c r="G284" s="114"/>
      <c r="H284" s="114"/>
    </row>
    <row r="285" spans="2:8" ht="12.75">
      <c r="B285" s="114"/>
      <c r="C285" s="114"/>
      <c r="D285" s="114"/>
      <c r="E285" s="114"/>
      <c r="F285" s="114"/>
      <c r="G285" s="114"/>
      <c r="H285" s="114"/>
    </row>
    <row r="286" spans="2:8" ht="12.75">
      <c r="B286" s="114"/>
      <c r="C286" s="114"/>
      <c r="D286" s="114"/>
      <c r="E286" s="114"/>
      <c r="F286" s="114"/>
      <c r="G286" s="114"/>
      <c r="H286" s="114"/>
    </row>
    <row r="287" spans="2:8" ht="12.75">
      <c r="B287" s="114"/>
      <c r="C287" s="114"/>
      <c r="D287" s="114"/>
      <c r="E287" s="114"/>
      <c r="F287" s="114"/>
      <c r="G287" s="114"/>
      <c r="H287" s="114"/>
    </row>
    <row r="288" spans="2:8" ht="12.75">
      <c r="B288" s="114"/>
      <c r="C288" s="114"/>
      <c r="D288" s="114"/>
      <c r="E288" s="114"/>
      <c r="F288" s="114"/>
      <c r="G288" s="114"/>
      <c r="H288" s="114"/>
    </row>
    <row r="289" spans="2:8" ht="12.75">
      <c r="B289" s="114"/>
      <c r="C289" s="114"/>
      <c r="D289" s="114"/>
      <c r="E289" s="114"/>
      <c r="F289" s="114"/>
      <c r="G289" s="114"/>
      <c r="H289" s="114"/>
    </row>
    <row r="290" spans="2:8" ht="12.75">
      <c r="B290" s="114"/>
      <c r="C290" s="114"/>
      <c r="D290" s="114"/>
      <c r="E290" s="114"/>
      <c r="F290" s="114"/>
      <c r="G290" s="114"/>
      <c r="H290" s="114"/>
    </row>
    <row r="291" spans="2:8" ht="12.75">
      <c r="B291" s="114"/>
      <c r="C291" s="114"/>
      <c r="D291" s="114"/>
      <c r="E291" s="114"/>
      <c r="F291" s="114"/>
      <c r="G291" s="114"/>
      <c r="H291" s="114"/>
    </row>
    <row r="292" spans="2:8" ht="12.75">
      <c r="B292" s="114"/>
      <c r="C292" s="114"/>
      <c r="D292" s="114"/>
      <c r="E292" s="114"/>
      <c r="F292" s="114"/>
      <c r="G292" s="114"/>
      <c r="H292" s="114"/>
    </row>
    <row r="293" spans="2:8" ht="12.75">
      <c r="B293" s="114"/>
      <c r="C293" s="114"/>
      <c r="D293" s="114"/>
      <c r="E293" s="114"/>
      <c r="F293" s="114"/>
      <c r="G293" s="114"/>
      <c r="H293" s="114"/>
    </row>
    <row r="294" spans="2:8" ht="12.75">
      <c r="B294" s="114"/>
      <c r="C294" s="114"/>
      <c r="D294" s="114"/>
      <c r="E294" s="114"/>
      <c r="F294" s="114"/>
      <c r="G294" s="114"/>
      <c r="H294" s="114"/>
    </row>
    <row r="295" spans="2:8" ht="12.75">
      <c r="B295" s="114"/>
      <c r="C295" s="114"/>
      <c r="D295" s="114"/>
      <c r="E295" s="114"/>
      <c r="F295" s="114"/>
      <c r="G295" s="114"/>
      <c r="H295" s="114"/>
    </row>
    <row r="296" spans="2:8" ht="12.75">
      <c r="B296" s="114"/>
      <c r="C296" s="114"/>
      <c r="D296" s="114"/>
      <c r="E296" s="114"/>
      <c r="F296" s="114"/>
      <c r="G296" s="114"/>
      <c r="H296" s="114"/>
    </row>
    <row r="297" spans="2:8" ht="12.75">
      <c r="B297" s="114"/>
      <c r="C297" s="114"/>
      <c r="D297" s="114"/>
      <c r="E297" s="114"/>
      <c r="F297" s="114"/>
      <c r="G297" s="114"/>
      <c r="H297" s="114"/>
    </row>
    <row r="298" spans="2:8" ht="12.75">
      <c r="B298" s="114"/>
      <c r="C298" s="114"/>
      <c r="D298" s="114"/>
      <c r="E298" s="114"/>
      <c r="F298" s="114"/>
      <c r="G298" s="114"/>
      <c r="H298" s="114"/>
    </row>
    <row r="299" spans="2:8" ht="12.75">
      <c r="B299" s="114"/>
      <c r="C299" s="114"/>
      <c r="D299" s="114"/>
      <c r="E299" s="114"/>
      <c r="F299" s="114"/>
      <c r="G299" s="114"/>
      <c r="H299" s="114"/>
    </row>
    <row r="300" spans="2:8" ht="12.75">
      <c r="B300" s="114"/>
      <c r="C300" s="114"/>
      <c r="D300" s="114"/>
      <c r="E300" s="114"/>
      <c r="F300" s="114"/>
      <c r="G300" s="114"/>
      <c r="H300" s="114"/>
    </row>
    <row r="301" spans="2:8" ht="12.75">
      <c r="B301" s="114"/>
      <c r="C301" s="114"/>
      <c r="D301" s="114"/>
      <c r="E301" s="114"/>
      <c r="F301" s="114"/>
      <c r="G301" s="114"/>
      <c r="H301" s="114"/>
    </row>
    <row r="302" spans="2:8" ht="12.75">
      <c r="B302" s="114"/>
      <c r="C302" s="114"/>
      <c r="D302" s="114"/>
      <c r="E302" s="114"/>
      <c r="F302" s="114"/>
      <c r="G302" s="114"/>
      <c r="H302" s="114"/>
    </row>
    <row r="303" spans="2:8" ht="12.75">
      <c r="B303" s="114"/>
      <c r="C303" s="114"/>
      <c r="D303" s="114"/>
      <c r="E303" s="114"/>
      <c r="F303" s="114"/>
      <c r="G303" s="114"/>
      <c r="H303" s="114"/>
    </row>
    <row r="304" spans="2:8" ht="12.75">
      <c r="B304" s="114"/>
      <c r="C304" s="114"/>
      <c r="D304" s="114"/>
      <c r="E304" s="114"/>
      <c r="F304" s="114"/>
      <c r="G304" s="114"/>
      <c r="H304" s="114"/>
    </row>
    <row r="305" spans="2:8" ht="12.75">
      <c r="B305" s="114"/>
      <c r="C305" s="114"/>
      <c r="D305" s="114"/>
      <c r="E305" s="114"/>
      <c r="F305" s="114"/>
      <c r="G305" s="114"/>
      <c r="H305" s="114"/>
    </row>
    <row r="306" spans="2:8" ht="12.75">
      <c r="B306" s="114"/>
      <c r="C306" s="114"/>
      <c r="D306" s="114"/>
      <c r="E306" s="114"/>
      <c r="F306" s="114"/>
      <c r="G306" s="114"/>
      <c r="H306" s="114"/>
    </row>
    <row r="307" spans="2:8" ht="12.75">
      <c r="B307" s="114"/>
      <c r="C307" s="114"/>
      <c r="D307" s="114"/>
      <c r="E307" s="114"/>
      <c r="F307" s="114"/>
      <c r="G307" s="114"/>
      <c r="H307" s="114"/>
    </row>
    <row r="308" spans="2:8" ht="12.75">
      <c r="B308" s="114"/>
      <c r="C308" s="114"/>
      <c r="D308" s="114"/>
      <c r="E308" s="114"/>
      <c r="F308" s="114"/>
      <c r="G308" s="114"/>
      <c r="H308" s="114"/>
    </row>
    <row r="309" spans="2:8" ht="12.75">
      <c r="B309" s="114"/>
      <c r="C309" s="114"/>
      <c r="D309" s="114"/>
      <c r="E309" s="114"/>
      <c r="F309" s="114"/>
      <c r="G309" s="114"/>
      <c r="H309" s="114"/>
    </row>
    <row r="310" spans="2:8" ht="12.75">
      <c r="B310" s="114"/>
      <c r="C310" s="114"/>
      <c r="D310" s="114"/>
      <c r="E310" s="114"/>
      <c r="F310" s="114"/>
      <c r="G310" s="114"/>
      <c r="H310" s="114"/>
    </row>
    <row r="311" spans="2:8" ht="12.75">
      <c r="B311" s="114"/>
      <c r="C311" s="114"/>
      <c r="D311" s="114"/>
      <c r="E311" s="114"/>
      <c r="F311" s="114"/>
      <c r="G311" s="114"/>
      <c r="H311" s="114"/>
    </row>
    <row r="312" spans="2:8" ht="12.75">
      <c r="B312" s="114"/>
      <c r="C312" s="114"/>
      <c r="D312" s="114"/>
      <c r="E312" s="114"/>
      <c r="F312" s="114"/>
      <c r="G312" s="114"/>
      <c r="H312" s="114"/>
    </row>
    <row r="313" spans="2:8" ht="12.75">
      <c r="B313" s="114"/>
      <c r="C313" s="114"/>
      <c r="D313" s="114"/>
      <c r="E313" s="114"/>
      <c r="F313" s="114"/>
      <c r="G313" s="114"/>
      <c r="H313" s="114"/>
    </row>
    <row r="314" spans="2:8" ht="12.75">
      <c r="B314" s="114"/>
      <c r="C314" s="114"/>
      <c r="D314" s="114"/>
      <c r="E314" s="114"/>
      <c r="F314" s="114"/>
      <c r="G314" s="114"/>
      <c r="H314" s="114"/>
    </row>
    <row r="315" spans="2:8" ht="12.75">
      <c r="B315" s="114"/>
      <c r="C315" s="114"/>
      <c r="D315" s="114"/>
      <c r="E315" s="114"/>
      <c r="F315" s="114"/>
      <c r="G315" s="114"/>
      <c r="H315" s="114"/>
    </row>
    <row r="316" spans="2:8" ht="12.75">
      <c r="B316" s="114"/>
      <c r="C316" s="114"/>
      <c r="D316" s="114"/>
      <c r="E316" s="114"/>
      <c r="F316" s="114"/>
      <c r="G316" s="114"/>
      <c r="H316" s="114"/>
    </row>
    <row r="317" spans="2:8" ht="12.75">
      <c r="B317" s="114"/>
      <c r="C317" s="114"/>
      <c r="D317" s="114"/>
      <c r="E317" s="114"/>
      <c r="F317" s="114"/>
      <c r="G317" s="114"/>
      <c r="H317" s="114"/>
    </row>
    <row r="318" spans="2:8" ht="12.75">
      <c r="B318" s="114"/>
      <c r="C318" s="114"/>
      <c r="D318" s="114"/>
      <c r="E318" s="114"/>
      <c r="F318" s="114"/>
      <c r="G318" s="114"/>
      <c r="H318" s="114"/>
    </row>
  </sheetData>
  <sheetProtection sheet="1" objects="1" scenarios="1"/>
  <printOptions horizontalCentered="1"/>
  <pageMargins left="0.4330708661417323" right="0.2362204724409449" top="0.6692913385826772" bottom="0.6692913385826772" header="0.3937007874015748" footer="0.35433070866141736"/>
  <pageSetup fitToHeight="2" fitToWidth="1" orientation="portrait" paperSize="9" scale="72" r:id="rId3"/>
  <headerFooter alignWithMargins="0">
    <oddHeader>&amp;RUtskriftsdato &amp;D</oddHeader>
    <oddFooter>&amp;LJohs Totland 20©06&amp;C&amp;F &amp;A&amp;RSide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P57"/>
  <sheetViews>
    <sheetView showGridLines="0" zoomScale="75" zoomScaleNormal="75" workbookViewId="0" topLeftCell="A1">
      <pane ySplit="2" topLeftCell="BM3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42.7109375" style="163" customWidth="1"/>
    <col min="2" max="2" width="14.7109375" style="163" customWidth="1"/>
    <col min="3" max="3" width="9.140625" style="163" customWidth="1"/>
    <col min="4" max="4" width="42.7109375" style="163" customWidth="1"/>
    <col min="5" max="5" width="14.57421875" style="163" customWidth="1"/>
    <col min="6" max="8" width="9.140625" style="163" customWidth="1"/>
    <col min="9" max="9" width="25.28125" style="163" hidden="1" customWidth="1"/>
    <col min="10" max="16384" width="9.140625" style="163" customWidth="1"/>
  </cols>
  <sheetData>
    <row r="1" spans="1:16" s="135" customFormat="1" ht="18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s="135" customFormat="1" ht="9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="201" customFormat="1" ht="17.25" customHeight="1">
      <c r="A3" s="202" t="str">
        <f>"Navn:/oppgavenr.: "&amp;Konteringsliste!C2</f>
        <v>Navn:/oppgavenr.: </v>
      </c>
    </row>
    <row r="4" spans="1:5" s="139" customFormat="1" ht="17.25" customHeight="1">
      <c r="A4" s="374">
        <f>Konteringsliste!E2</f>
        <v>0</v>
      </c>
      <c r="B4" s="374"/>
      <c r="C4" s="374"/>
      <c r="D4" s="374"/>
      <c r="E4" s="374"/>
    </row>
    <row r="5" spans="1:5" s="139" customFormat="1" ht="16.5" customHeight="1">
      <c r="A5" s="137" t="str">
        <f>"Balanse "&amp;Konteringsliste!C3</f>
        <v>Balanse </v>
      </c>
      <c r="B5" s="138"/>
      <c r="C5" s="138" t="s">
        <v>11</v>
      </c>
      <c r="D5" s="137" t="str">
        <f>"Resultatregnskap "&amp;Konteringsliste!C3</f>
        <v>Resultatregnskap </v>
      </c>
      <c r="E5" s="138"/>
    </row>
    <row r="6" spans="3:5" s="141" customFormat="1" ht="15" customHeight="1">
      <c r="C6" s="136"/>
      <c r="D6" s="140"/>
      <c r="E6" s="136"/>
    </row>
    <row r="7" spans="1:5" s="141" customFormat="1" ht="15" customHeight="1">
      <c r="A7" s="142" t="s">
        <v>64</v>
      </c>
      <c r="B7" s="313"/>
      <c r="C7" s="136"/>
      <c r="D7" s="321" t="str">
        <f>Konteringsliste!AF5</f>
        <v>Salgsinntekt</v>
      </c>
      <c r="E7" s="396">
        <f>Konteringsliste!AF138</f>
        <v>0</v>
      </c>
    </row>
    <row r="8" spans="1:5" s="141" customFormat="1" ht="15" customHeight="1">
      <c r="A8" s="143" t="s">
        <v>65</v>
      </c>
      <c r="B8" s="314"/>
      <c r="C8" s="136"/>
      <c r="D8" s="153" t="str">
        <f>Konteringsliste!AG5</f>
        <v>Annen driftsinntekt</v>
      </c>
      <c r="E8" s="315">
        <f>Konteringsliste!AG138</f>
        <v>0</v>
      </c>
    </row>
    <row r="9" spans="1:5" s="141" customFormat="1" ht="15" customHeight="1">
      <c r="A9" s="147" t="str">
        <f>Konteringsliste!P5</f>
        <v>Tomter, bygninger og annen fast eiendom</v>
      </c>
      <c r="B9" s="314">
        <f>Konteringsliste!P138</f>
        <v>0</v>
      </c>
      <c r="C9" s="136"/>
      <c r="D9" s="322" t="s">
        <v>66</v>
      </c>
      <c r="E9" s="395">
        <f>SUM(E7:E8)</f>
        <v>0</v>
      </c>
    </row>
    <row r="10" spans="1:5" s="141" customFormat="1" ht="15" customHeight="1">
      <c r="A10" s="147" t="str">
        <f>Konteringsliste!Q5</f>
        <v>Maskiner og anlegg</v>
      </c>
      <c r="B10" s="314">
        <f>Konteringsliste!Q138</f>
        <v>0</v>
      </c>
      <c r="C10" s="136"/>
      <c r="D10" s="150" t="str">
        <f>Konteringsliste!AH5</f>
        <v>Varekostnad</v>
      </c>
      <c r="E10" s="314">
        <f>Konteringsliste!AH138</f>
        <v>0</v>
      </c>
    </row>
    <row r="11" spans="1:5" s="141" customFormat="1" ht="15" customHeight="1">
      <c r="A11" s="151" t="str">
        <f>Konteringsliste!R5</f>
        <v>Driftsløsøre, inventar, verktøy m.v</v>
      </c>
      <c r="B11" s="315">
        <f>Konteringsliste!R138</f>
        <v>0</v>
      </c>
      <c r="C11" s="136"/>
      <c r="D11" s="150" t="str">
        <f>Konteringsliste!AI5</f>
        <v>Endring i beholdning ViA og Fv</v>
      </c>
      <c r="E11" s="314">
        <f>Konteringsliste!AI138</f>
        <v>0</v>
      </c>
    </row>
    <row r="12" spans="1:5" s="141" customFormat="1" ht="15" customHeight="1">
      <c r="A12" s="155" t="s">
        <v>67</v>
      </c>
      <c r="B12" s="316">
        <f>SUM(B9:B11)</f>
        <v>0</v>
      </c>
      <c r="C12" s="136"/>
      <c r="D12" s="150" t="str">
        <f>Konteringsliste!AJ5</f>
        <v>Lønnskostnad</v>
      </c>
      <c r="E12" s="314">
        <f>Konteringsliste!AJ138</f>
        <v>0</v>
      </c>
    </row>
    <row r="13" spans="1:5" s="141" customFormat="1" ht="15" customHeight="1">
      <c r="A13" s="143" t="s">
        <v>68</v>
      </c>
      <c r="B13" s="317"/>
      <c r="C13" s="136"/>
      <c r="D13" s="150" t="str">
        <f>Konteringsliste!AK5</f>
        <v>Avskrivning</v>
      </c>
      <c r="E13" s="314">
        <f>Konteringsliste!AK138</f>
        <v>0</v>
      </c>
    </row>
    <row r="14" spans="1:5" s="141" customFormat="1" ht="15" customHeight="1">
      <c r="A14" s="151" t="str">
        <f>Konteringsliste!S5</f>
        <v>Varer</v>
      </c>
      <c r="B14" s="315">
        <f>Konteringsliste!S138</f>
        <v>0</v>
      </c>
      <c r="C14" s="136"/>
      <c r="D14" s="153" t="str">
        <f>Konteringsliste!AL5</f>
        <v>Annen driftskostnad</v>
      </c>
      <c r="E14" s="315">
        <f>Konteringsliste!AL138</f>
        <v>0</v>
      </c>
    </row>
    <row r="15" spans="1:5" s="141" customFormat="1" ht="15" customHeight="1">
      <c r="A15" s="401" t="s">
        <v>69</v>
      </c>
      <c r="B15" s="398"/>
      <c r="C15" s="136"/>
      <c r="D15" s="152" t="s">
        <v>70</v>
      </c>
      <c r="E15" s="316">
        <f>SUM(E10:E14)</f>
        <v>0</v>
      </c>
    </row>
    <row r="16" spans="1:5" s="141" customFormat="1" ht="15" customHeight="1">
      <c r="A16" s="147" t="str">
        <f>Konteringsliste!T5</f>
        <v>Kundefordringer</v>
      </c>
      <c r="B16" s="314">
        <f>Konteringsliste!T138</f>
        <v>0</v>
      </c>
      <c r="C16" s="136"/>
      <c r="D16" s="145" t="s">
        <v>71</v>
      </c>
      <c r="E16" s="316">
        <f>E9-E15</f>
        <v>0</v>
      </c>
    </row>
    <row r="17" spans="1:5" s="141" customFormat="1" ht="15" customHeight="1">
      <c r="A17" s="151" t="str">
        <f>Konteringsliste!U5</f>
        <v>Andre fordringer</v>
      </c>
      <c r="B17" s="315">
        <f>Konteringsliste!U138</f>
        <v>0</v>
      </c>
      <c r="C17" s="136"/>
      <c r="D17" s="150" t="str">
        <f>Konteringsliste!AM5</f>
        <v>Annen rente- og finansinntekt</v>
      </c>
      <c r="E17" s="314">
        <f>Konteringsliste!AM138</f>
        <v>0</v>
      </c>
    </row>
    <row r="18" spans="1:5" s="141" customFormat="1" ht="15" customHeight="1">
      <c r="A18" s="399" t="s">
        <v>72</v>
      </c>
      <c r="B18" s="400">
        <f>SUM(B16:B17)</f>
        <v>0</v>
      </c>
      <c r="C18" s="136"/>
      <c r="D18" s="153" t="str">
        <f>Konteringsliste!AN5</f>
        <v>Annen rente- og finanskostnad</v>
      </c>
      <c r="E18" s="315">
        <f>Konteringsliste!AN138</f>
        <v>0</v>
      </c>
    </row>
    <row r="19" spans="1:5" s="141" customFormat="1" ht="15" customHeight="1">
      <c r="A19" s="151" t="str">
        <f>Konteringsliste!V5</f>
        <v>Bankinnskudd, kontanter o.l</v>
      </c>
      <c r="B19" s="315">
        <f>Konteringsliste!V138</f>
        <v>0</v>
      </c>
      <c r="C19" s="136"/>
      <c r="D19" s="145" t="s">
        <v>73</v>
      </c>
      <c r="E19" s="316">
        <f>E16+E17-E18</f>
        <v>0</v>
      </c>
    </row>
    <row r="20" spans="1:5" s="141" customFormat="1" ht="15" customHeight="1">
      <c r="A20" s="152" t="s">
        <v>74</v>
      </c>
      <c r="B20" s="316">
        <f>B14+B18+B19</f>
        <v>0</v>
      </c>
      <c r="C20" s="136"/>
      <c r="D20" s="153" t="str">
        <f>Konteringsliste!AO5</f>
        <v>Skattekostnad på ordinært resultat</v>
      </c>
      <c r="E20" s="315">
        <f>Konteringsliste!AO138</f>
        <v>0</v>
      </c>
    </row>
    <row r="21" spans="1:5" s="141" customFormat="1" ht="15" customHeight="1">
      <c r="A21" s="155" t="s">
        <v>75</v>
      </c>
      <c r="B21" s="316">
        <f>+B20+B12</f>
        <v>0</v>
      </c>
      <c r="C21" s="136"/>
      <c r="D21" s="145" t="s">
        <v>76</v>
      </c>
      <c r="E21" s="316">
        <f>E19-E20</f>
        <v>0</v>
      </c>
    </row>
    <row r="22" spans="2:5" s="141" customFormat="1" ht="15" customHeight="1">
      <c r="B22" s="318"/>
      <c r="C22" s="136"/>
      <c r="D22" s="150" t="str">
        <f>Konteringsliste!AP5</f>
        <v>Ekstraordinær inntekt</v>
      </c>
      <c r="E22" s="314">
        <f>Konteringsliste!AP138</f>
        <v>0</v>
      </c>
    </row>
    <row r="23" spans="1:5" s="141" customFormat="1" ht="15" customHeight="1">
      <c r="A23" s="142" t="s">
        <v>77</v>
      </c>
      <c r="B23" s="313"/>
      <c r="C23" s="136"/>
      <c r="D23" s="150" t="str">
        <f>Konteringsliste!AQ5</f>
        <v>Ekstraordinær kostnad</v>
      </c>
      <c r="E23" s="314">
        <f>Konteringsliste!AQ138</f>
        <v>0</v>
      </c>
    </row>
    <row r="24" spans="1:5" s="141" customFormat="1" ht="15" customHeight="1">
      <c r="A24" s="143" t="s">
        <v>78</v>
      </c>
      <c r="B24" s="319"/>
      <c r="C24" s="136"/>
      <c r="D24" s="153" t="str">
        <f>Konteringsliste!AR5</f>
        <v>Skattekostnad på ekstraordinært resultat</v>
      </c>
      <c r="E24" s="315">
        <f>Konteringsliste!AR138</f>
        <v>0</v>
      </c>
    </row>
    <row r="25" spans="1:5" s="141" customFormat="1" ht="15" customHeight="1">
      <c r="A25" s="151" t="str">
        <f>Konteringsliste!W5</f>
        <v>Sum egenkapital</v>
      </c>
      <c r="B25" s="316">
        <f>B21-B35-B27</f>
        <v>0</v>
      </c>
      <c r="C25" s="136"/>
      <c r="D25" s="145" t="s">
        <v>79</v>
      </c>
      <c r="E25" s="316">
        <f>INT(E21+E22-E23-E24)</f>
        <v>0</v>
      </c>
    </row>
    <row r="26" spans="1:5" s="141" customFormat="1" ht="15" customHeight="1">
      <c r="A26" s="300" t="s">
        <v>80</v>
      </c>
      <c r="B26" s="317"/>
      <c r="C26" s="136"/>
      <c r="D26" s="324" t="s">
        <v>81</v>
      </c>
      <c r="E26" s="397"/>
    </row>
    <row r="27" spans="1:5" s="141" customFormat="1" ht="15" customHeight="1">
      <c r="A27" s="151" t="str">
        <f>Konteringsliste!X5</f>
        <v>Sum langsiktig gjeld</v>
      </c>
      <c r="B27" s="316">
        <f>Konteringsliste!X138</f>
        <v>0</v>
      </c>
      <c r="C27" s="136"/>
      <c r="D27" s="150" t="str">
        <f>Konteringsliste!AS5</f>
        <v>Utbytte</v>
      </c>
      <c r="E27" s="314">
        <f>Konteringsliste!AS138</f>
        <v>0</v>
      </c>
    </row>
    <row r="28" spans="1:5" s="141" customFormat="1" ht="15" customHeight="1">
      <c r="A28" s="143" t="s">
        <v>82</v>
      </c>
      <c r="B28" s="317"/>
      <c r="C28" s="136"/>
      <c r="D28" s="153" t="str">
        <f>Konteringsliste!AT5</f>
        <v>Overført annen egenkapital</v>
      </c>
      <c r="E28" s="315">
        <f>Konteringsliste!AT138</f>
        <v>0</v>
      </c>
    </row>
    <row r="29" spans="1:5" s="141" customFormat="1" ht="15" customHeight="1">
      <c r="A29" s="147" t="str">
        <f>Konteringsliste!Y5</f>
        <v>Gjeld til kredittinstitusjoner (kassekreditt m.v)</v>
      </c>
      <c r="B29" s="314">
        <f>Konteringsliste!Y138</f>
        <v>0</v>
      </c>
      <c r="C29" s="136"/>
      <c r="D29" s="145" t="s">
        <v>83</v>
      </c>
      <c r="E29" s="316">
        <f>SUM(E27:E28)</f>
        <v>0</v>
      </c>
    </row>
    <row r="30" spans="1:5" s="141" customFormat="1" ht="15" customHeight="1">
      <c r="A30" s="147" t="str">
        <f>Konteringsliste!Z5</f>
        <v>Leverandørgjeld</v>
      </c>
      <c r="B30" s="314">
        <f>Konteringsliste!Z138</f>
        <v>0</v>
      </c>
      <c r="C30" s="136"/>
      <c r="D30" s="140"/>
      <c r="E30" s="136"/>
    </row>
    <row r="31" spans="1:5" s="141" customFormat="1" ht="15" customHeight="1">
      <c r="A31" s="147" t="str">
        <f>Konteringsliste!AA5</f>
        <v>Betalbar skatt</v>
      </c>
      <c r="B31" s="314">
        <f>Konteringsliste!AA138</f>
        <v>0</v>
      </c>
      <c r="C31" s="136"/>
      <c r="D31" s="362" t="s">
        <v>84</v>
      </c>
      <c r="E31" s="363"/>
    </row>
    <row r="32" spans="1:5" s="141" customFormat="1" ht="15" customHeight="1">
      <c r="A32" s="147" t="str">
        <f>Konteringsliste!AC5</f>
        <v>Skyldige offentlige avgifter</v>
      </c>
      <c r="B32" s="314">
        <f>Konteringsliste!AC138+Konteringsliste!AB138</f>
        <v>0</v>
      </c>
      <c r="C32" s="136"/>
      <c r="D32" s="150" t="s">
        <v>85</v>
      </c>
      <c r="E32" s="364">
        <f>IF(B36=0,0,(E19+E18)/B36)</f>
        <v>0</v>
      </c>
    </row>
    <row r="33" spans="1:5" s="141" customFormat="1" ht="14.25">
      <c r="A33" s="147" t="str">
        <f>Konteringsliste!AD5</f>
        <v>Utbytte</v>
      </c>
      <c r="B33" s="314">
        <f>Konteringsliste!AD138</f>
        <v>0</v>
      </c>
      <c r="C33" s="136"/>
      <c r="D33" s="150" t="s">
        <v>86</v>
      </c>
      <c r="E33" s="364">
        <f>IF(B25=0,0,E19/B25)</f>
        <v>0</v>
      </c>
    </row>
    <row r="34" spans="1:5" s="146" customFormat="1" ht="14.25">
      <c r="A34" s="151" t="str">
        <f>Konteringsliste!AE5</f>
        <v>Annen kortsiktig gjeld</v>
      </c>
      <c r="B34" s="315">
        <f>Konteringsliste!AE138</f>
        <v>0</v>
      </c>
      <c r="C34" s="144"/>
      <c r="D34" s="365" t="s">
        <v>87</v>
      </c>
      <c r="E34" s="364">
        <f>IF(B35=0,0,B20/B35)</f>
        <v>0</v>
      </c>
    </row>
    <row r="35" spans="1:5" s="149" customFormat="1" ht="15">
      <c r="A35" s="155" t="s">
        <v>88</v>
      </c>
      <c r="B35" s="316">
        <f>SUM(B29:B34)</f>
        <v>0</v>
      </c>
      <c r="C35" s="148"/>
      <c r="D35" s="365" t="s">
        <v>89</v>
      </c>
      <c r="E35" s="364">
        <f>IF(B35=0,0,(B20-B14)/B35)</f>
        <v>0</v>
      </c>
    </row>
    <row r="36" spans="1:5" s="149" customFormat="1" ht="15">
      <c r="A36" s="394" t="s">
        <v>90</v>
      </c>
      <c r="B36" s="395">
        <f>B35+B27+B25</f>
        <v>0</v>
      </c>
      <c r="C36" s="148"/>
      <c r="D36" s="147" t="s">
        <v>91</v>
      </c>
      <c r="E36" s="364">
        <f>IF(B21=0,0,B25/B21)</f>
        <v>0</v>
      </c>
    </row>
    <row r="37" spans="1:5" s="149" customFormat="1" ht="14.25">
      <c r="A37" s="320"/>
      <c r="B37" s="320"/>
      <c r="C37" s="148"/>
      <c r="D37" s="147" t="s">
        <v>92</v>
      </c>
      <c r="E37" s="366">
        <f>B20-B35</f>
        <v>0</v>
      </c>
    </row>
    <row r="38" spans="1:5" s="149" customFormat="1" ht="14.25">
      <c r="A38" s="320"/>
      <c r="B38" s="320"/>
      <c r="C38" s="148"/>
      <c r="D38" s="151" t="s">
        <v>93</v>
      </c>
      <c r="E38" s="367">
        <f>IF((B12+B14/2)=0,0,(B27+B25)/(B12+B14/2))</f>
        <v>0</v>
      </c>
    </row>
    <row r="39" spans="1:9" s="149" customFormat="1" ht="15">
      <c r="A39" s="320"/>
      <c r="B39" s="320"/>
      <c r="C39" s="148"/>
      <c r="I39" s="67" t="s">
        <v>94</v>
      </c>
    </row>
    <row r="40" spans="1:9" s="68" customFormat="1" ht="14.25">
      <c r="A40" s="393"/>
      <c r="B40" s="393"/>
      <c r="C40" s="148"/>
      <c r="F40" s="149"/>
      <c r="G40" s="149"/>
      <c r="H40" s="149"/>
      <c r="I40" s="68" t="s">
        <v>95</v>
      </c>
    </row>
    <row r="41" spans="1:9" s="149" customFormat="1" ht="14.25">
      <c r="A41" s="320"/>
      <c r="B41" s="320"/>
      <c r="C41" s="148"/>
      <c r="I41" s="154" t="str">
        <f>IF(Konteringsliste!G138=Konteringsliste!H138,"Sum debet = Sum kredit","Sum debet er ulik sum kredit. Differanse: "&amp;ROUND(Konteringsliste!G138-Konteringsliste!H138,2))</f>
        <v>Sum debet = Sum kredit</v>
      </c>
    </row>
    <row r="42" spans="1:9" s="146" customFormat="1" ht="14.25">
      <c r="A42" s="167"/>
      <c r="B42" s="167"/>
      <c r="C42" s="148"/>
      <c r="I42" s="156" t="str">
        <f>"Saldo kasse: "&amp;Konteringsliste!AU138</f>
        <v>Saldo kasse: 0</v>
      </c>
    </row>
    <row r="43" spans="1:9" s="146" customFormat="1" ht="14.25">
      <c r="A43" s="167"/>
      <c r="B43" s="167"/>
      <c r="C43" s="148"/>
      <c r="I43" s="156" t="str">
        <f>"Saldo postgiro: "&amp;Konteringsliste!AV138</f>
        <v>Saldo postgiro: 0</v>
      </c>
    </row>
    <row r="44" spans="1:9" s="149" customFormat="1" ht="14.25">
      <c r="A44" s="148"/>
      <c r="B44" s="158"/>
      <c r="C44" s="148"/>
      <c r="I44" s="157" t="str">
        <f>"Saldo bankinnskudd folio: "&amp;Konteringsliste!AW138</f>
        <v>Saldo bankinnskudd folio: 0</v>
      </c>
    </row>
    <row r="45" spans="1:9" s="149" customFormat="1" ht="14.25">
      <c r="A45" s="320"/>
      <c r="B45" s="320"/>
      <c r="C45" s="148"/>
      <c r="I45" s="157" t="str">
        <f>"Saldo kassekreditt: "&amp;Konteringsliste!AX138</f>
        <v>Saldo kassekreditt: 0</v>
      </c>
    </row>
    <row r="46" spans="3:9" s="149" customFormat="1" ht="14.25">
      <c r="C46" s="148"/>
      <c r="I46" s="157"/>
    </row>
    <row r="47" spans="3:9" s="146" customFormat="1" ht="14.25">
      <c r="C47" s="158"/>
      <c r="I47" s="156" t="str">
        <f>"Resultat: "&amp;E25</f>
        <v>Resultat: 0</v>
      </c>
    </row>
    <row r="48" s="149" customFormat="1" ht="14.25">
      <c r="C48" s="158"/>
    </row>
    <row r="49" spans="3:9" s="146" customFormat="1" ht="14.25">
      <c r="C49" s="158"/>
      <c r="I49" s="159" t="str">
        <f>"Totalkapitalrentabilitet: "&amp;ROUND(E32*100,1)&amp;" %"</f>
        <v>Totalkapitalrentabilitet: 0 %</v>
      </c>
    </row>
    <row r="50" spans="3:9" s="149" customFormat="1" ht="14.25">
      <c r="C50" s="158"/>
      <c r="I50" s="159" t="str">
        <f>"Egenkapitalrentabilitet før skatt: "&amp;ROUND(E33*100,1)&amp;" %"</f>
        <v>Egenkapitalrentabilitet før skatt: 0 %</v>
      </c>
    </row>
    <row r="51" spans="3:11" s="146" customFormat="1" ht="14.25">
      <c r="C51" s="158"/>
      <c r="I51" s="161" t="str">
        <f>"Likviditetsgrad 1: "&amp;ROUND(E34*100,1)&amp;" %"</f>
        <v>Likviditetsgrad 1: 0 %</v>
      </c>
      <c r="K51" s="162"/>
    </row>
    <row r="52" spans="3:9" ht="14.25">
      <c r="C52" s="158"/>
      <c r="I52" s="159" t="str">
        <f>"Likviditetsgrad 2: "&amp;ROUND(E35*100,1)&amp;" %"</f>
        <v>Likviditetsgrad 2: 0 %</v>
      </c>
    </row>
    <row r="53" spans="3:9" ht="14.25">
      <c r="C53" s="158"/>
      <c r="I53" s="164" t="str">
        <f>"Egenkapitalprosent: "&amp;ROUND(E36*100,1)&amp;" %"</f>
        <v>Egenkapitalprosent: 0 %</v>
      </c>
    </row>
    <row r="54" spans="3:9" ht="14.25">
      <c r="C54" s="158"/>
      <c r="I54" s="164" t="str">
        <f>"Arbeidskapital: "&amp;ROUND(E37,0)</f>
        <v>Arbeidskapital: 0</v>
      </c>
    </row>
    <row r="55" spans="1:9" ht="14.25">
      <c r="A55" s="165"/>
      <c r="B55" s="166"/>
      <c r="C55" s="166"/>
      <c r="D55" s="160"/>
      <c r="E55" s="158"/>
      <c r="I55" s="164" t="str">
        <f>"Langs. kap/(anleggsm. + 1/2 varelager): "&amp;ROUND(E38*100,1)&amp;" %"</f>
        <v>Langs. kap/(anleggsm. + 1/2 varelager): 0 %</v>
      </c>
    </row>
    <row r="56" spans="1:3" ht="12.75">
      <c r="A56" s="165"/>
      <c r="B56" s="166"/>
      <c r="C56" s="166"/>
    </row>
    <row r="57" spans="1:3" ht="12.75">
      <c r="A57" s="165"/>
      <c r="B57" s="166"/>
      <c r="C57" s="166"/>
    </row>
    <row r="58" s="165" customFormat="1" ht="12.75"/>
    <row r="59" s="165" customFormat="1" ht="12.75"/>
    <row r="60" s="165" customFormat="1" ht="12.75"/>
    <row r="61" s="165" customFormat="1" ht="12.75"/>
    <row r="62" s="165" customFormat="1" ht="12.75"/>
    <row r="63" s="165" customFormat="1" ht="12.75"/>
    <row r="64" s="165" customFormat="1" ht="12.75"/>
    <row r="65" s="165" customFormat="1" ht="12.75"/>
    <row r="66" s="165" customFormat="1" ht="12.75"/>
    <row r="67" s="165" customFormat="1" ht="12.75"/>
    <row r="68" s="165" customFormat="1" ht="12.75"/>
    <row r="69" s="165" customFormat="1" ht="12.75"/>
    <row r="70" s="165" customFormat="1" ht="12.75"/>
    <row r="71" s="165" customFormat="1" ht="12.75"/>
    <row r="72" s="165" customFormat="1" ht="12.75"/>
    <row r="73" s="165" customFormat="1" ht="12.75"/>
    <row r="74" s="165" customFormat="1" ht="12.75"/>
    <row r="75" s="165" customFormat="1" ht="12.75"/>
    <row r="76" s="165" customFormat="1" ht="12.75"/>
    <row r="77" s="165" customFormat="1" ht="12.75"/>
    <row r="78" s="165" customFormat="1" ht="12.75"/>
    <row r="79" s="165" customFormat="1" ht="12.75"/>
    <row r="80" s="165" customFormat="1" ht="12.75"/>
    <row r="81" s="165" customFormat="1" ht="12.75"/>
    <row r="82" s="165" customFormat="1" ht="12.75"/>
    <row r="83" s="165" customFormat="1" ht="12.75"/>
    <row r="84" s="165" customFormat="1" ht="12.75"/>
    <row r="85" s="165" customFormat="1" ht="12.75"/>
    <row r="86" s="165" customFormat="1" ht="12.75"/>
    <row r="87" s="165" customFormat="1" ht="12.75"/>
    <row r="88" s="165" customFormat="1" ht="12.75"/>
    <row r="89" s="165" customFormat="1" ht="12.75"/>
    <row r="90" s="165" customFormat="1" ht="12.75"/>
    <row r="91" s="165" customFormat="1" ht="12.75"/>
    <row r="92" s="165" customFormat="1" ht="12.75"/>
    <row r="93" s="165" customFormat="1" ht="12.75"/>
  </sheetData>
  <sheetProtection sheet="1" objects="1" scenarios="1"/>
  <printOptions/>
  <pageMargins left="1.63" right="0.56" top="0.79" bottom="0.67" header="0.5" footer="0.31"/>
  <pageSetup fitToHeight="1" fitToWidth="1" horizontalDpi="300" verticalDpi="300" orientation="landscape" paperSize="9" scale="90" r:id="rId2"/>
  <headerFooter alignWithMargins="0">
    <oddHeader>&amp;RUtskriftsdato: &amp;D</oddHeader>
    <oddFooter>&amp;LJohs Totland 19©99&amp;C&amp;F &amp;A&amp;RSide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Q73"/>
  <sheetViews>
    <sheetView showGridLines="0" workbookViewId="0" topLeftCell="A1">
      <selection activeCell="B6" sqref="B6"/>
    </sheetView>
  </sheetViews>
  <sheetFormatPr defaultColWidth="11.421875" defaultRowHeight="12.75"/>
  <cols>
    <col min="1" max="1" width="44.57421875" style="163" customWidth="1"/>
    <col min="2" max="5" width="13.7109375" style="163" customWidth="1"/>
    <col min="6" max="16384" width="9.140625" style="163" customWidth="1"/>
  </cols>
  <sheetData>
    <row r="1" spans="1:17" ht="12.75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1:17" ht="12.7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17" s="139" customFormat="1" ht="12.75" customHeight="1">
      <c r="A3" s="187"/>
      <c r="B3" s="188"/>
      <c r="C3" s="188"/>
      <c r="D3" s="188"/>
      <c r="E3" s="188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</row>
    <row r="4" spans="1:17" s="139" customFormat="1" ht="20.25">
      <c r="A4" s="218" t="str">
        <f>Konteringsliste!E2&amp;"  Budsjett og regnskap "&amp;Konteringsliste!C3</f>
        <v>  Budsjett og regnskap </v>
      </c>
      <c r="B4" s="219"/>
      <c r="C4" s="219"/>
      <c r="D4" s="219"/>
      <c r="E4" s="220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</row>
    <row r="5" spans="1:17" s="146" customFormat="1" ht="18">
      <c r="A5" s="325"/>
      <c r="B5" s="358" t="s">
        <v>96</v>
      </c>
      <c r="C5" s="326" t="s">
        <v>97</v>
      </c>
      <c r="D5" s="326" t="s">
        <v>98</v>
      </c>
      <c r="E5" s="327" t="s">
        <v>99</v>
      </c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</row>
    <row r="6" spans="1:17" s="141" customFormat="1" ht="14.25">
      <c r="A6" s="328" t="str">
        <f>IF('Balanse og resultat'!D7=0,"",'Balanse og resultat'!D7)</f>
        <v>Salgsinntekt</v>
      </c>
      <c r="B6" s="329"/>
      <c r="C6" s="330">
        <f>IF('Balanse og resultat'!E7=0,0,'Balanse og resultat'!E7)</f>
        <v>0</v>
      </c>
      <c r="D6" s="330">
        <f>C6-B6</f>
        <v>0</v>
      </c>
      <c r="E6" s="356">
        <f aca="true" t="shared" si="0" ref="E6:E28">IF(B6=0,"",D6/B6)</f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</row>
    <row r="7" spans="1:17" s="146" customFormat="1" ht="14.25">
      <c r="A7" s="230" t="str">
        <f>IF('Balanse og resultat'!D8=0,"",'Balanse og resultat'!D8)</f>
        <v>Annen driftsinntekt</v>
      </c>
      <c r="B7" s="247"/>
      <c r="C7" s="231">
        <f>IF('Balanse og resultat'!E8=0,0,'Balanse og resultat'!E8)</f>
        <v>0</v>
      </c>
      <c r="D7" s="231">
        <f>C7-B7</f>
        <v>0</v>
      </c>
      <c r="E7" s="232">
        <f t="shared" si="0"/>
      </c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</row>
    <row r="8" spans="1:17" s="146" customFormat="1" ht="15">
      <c r="A8" s="332" t="s">
        <v>66</v>
      </c>
      <c r="B8" s="359">
        <f>SUM(B6:B7)</f>
        <v>0</v>
      </c>
      <c r="C8" s="333">
        <f>SUM(C6:C7)</f>
        <v>0</v>
      </c>
      <c r="D8" s="333">
        <f>SUM(D6:D7)</f>
        <v>0</v>
      </c>
      <c r="E8" s="357">
        <f t="shared" si="0"/>
      </c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</row>
    <row r="9" spans="1:17" s="149" customFormat="1" ht="14.25">
      <c r="A9" s="226" t="str">
        <f>IF('Balanse og resultat'!D10=0,"",'Balanse og resultat'!D10)</f>
        <v>Varekostnad</v>
      </c>
      <c r="B9" s="246"/>
      <c r="C9" s="227">
        <f>IF('Balanse og resultat'!E10=0,0,'Balanse og resultat'!E10)</f>
        <v>0</v>
      </c>
      <c r="D9" s="227">
        <f>C9-B9</f>
        <v>0</v>
      </c>
      <c r="E9" s="228">
        <f t="shared" si="0"/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</row>
    <row r="10" spans="1:17" s="149" customFormat="1" ht="14.25">
      <c r="A10" s="226" t="str">
        <f>IF('Balanse og resultat'!D11=0,"",'Balanse og resultat'!D11)</f>
        <v>Endring i beholdning ViA og Fv</v>
      </c>
      <c r="B10" s="246"/>
      <c r="C10" s="227">
        <f>IF('Balanse og resultat'!E11=0,0,'Balanse og resultat'!E11)</f>
        <v>0</v>
      </c>
      <c r="D10" s="227">
        <f>C10-B10</f>
        <v>0</v>
      </c>
      <c r="E10" s="228">
        <f t="shared" si="0"/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</row>
    <row r="11" spans="1:17" s="149" customFormat="1" ht="14.25">
      <c r="A11" s="226" t="str">
        <f>IF('Balanse og resultat'!D12=0,"",'Balanse og resultat'!D12)</f>
        <v>Lønnskostnad</v>
      </c>
      <c r="B11" s="246"/>
      <c r="C11" s="227">
        <f>IF('Balanse og resultat'!E12=0,0,'Balanse og resultat'!E12)</f>
        <v>0</v>
      </c>
      <c r="D11" s="227">
        <f>C11-B11</f>
        <v>0</v>
      </c>
      <c r="E11" s="228">
        <f t="shared" si="0"/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</row>
    <row r="12" spans="1:17" s="149" customFormat="1" ht="14.25">
      <c r="A12" s="226" t="str">
        <f>IF('Balanse og resultat'!D13=0,"",'Balanse og resultat'!D13)</f>
        <v>Avskrivning</v>
      </c>
      <c r="B12" s="246"/>
      <c r="C12" s="227">
        <f>IF('Balanse og resultat'!E13=0,0,'Balanse og resultat'!E13)</f>
        <v>0</v>
      </c>
      <c r="D12" s="227">
        <f>C12-B12</f>
        <v>0</v>
      </c>
      <c r="E12" s="228">
        <f t="shared" si="0"/>
      </c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</row>
    <row r="13" spans="1:17" s="149" customFormat="1" ht="14.25">
      <c r="A13" s="230" t="str">
        <f>IF('Balanse og resultat'!D14=0,"",'Balanse og resultat'!D14)</f>
        <v>Annen driftskostnad</v>
      </c>
      <c r="B13" s="247"/>
      <c r="C13" s="231">
        <f>IF('Balanse og resultat'!E14=0,0,'Balanse og resultat'!E14)</f>
        <v>0</v>
      </c>
      <c r="D13" s="231">
        <f>C13-B13</f>
        <v>0</v>
      </c>
      <c r="E13" s="232">
        <f t="shared" si="0"/>
      </c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</row>
    <row r="14" spans="1:17" s="146" customFormat="1" ht="15">
      <c r="A14" s="233" t="str">
        <f>IF('Balanse og resultat'!D15=0,"",'Balanse og resultat'!D15)</f>
        <v>Sum driftskostnader</v>
      </c>
      <c r="B14" s="360">
        <f>SUM(B9:B13)</f>
        <v>0</v>
      </c>
      <c r="C14" s="234">
        <f>SUM(C9:C13)</f>
        <v>0</v>
      </c>
      <c r="D14" s="234">
        <f>SUM(D9:D13)</f>
        <v>0</v>
      </c>
      <c r="E14" s="225">
        <f t="shared" si="0"/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</row>
    <row r="15" spans="1:17" s="146" customFormat="1" ht="15">
      <c r="A15" s="224" t="str">
        <f>IF('Balanse og resultat'!D16=0,"",'Balanse og resultat'!D16)</f>
        <v>Driftsresultat</v>
      </c>
      <c r="B15" s="360">
        <f>B8-B14</f>
        <v>0</v>
      </c>
      <c r="C15" s="234">
        <f>C8-C14</f>
        <v>0</v>
      </c>
      <c r="D15" s="234">
        <f>D8-D14</f>
        <v>0</v>
      </c>
      <c r="E15" s="225">
        <f t="shared" si="0"/>
      </c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</row>
    <row r="16" spans="1:17" s="146" customFormat="1" ht="14.25">
      <c r="A16" s="226" t="str">
        <f>IF('Balanse og resultat'!D17=0,"",'Balanse og resultat'!D17)</f>
        <v>Annen rente- og finansinntekt</v>
      </c>
      <c r="B16" s="246"/>
      <c r="C16" s="227">
        <f>IF('Balanse og resultat'!E17=0,0,'Balanse og resultat'!E17)</f>
        <v>0</v>
      </c>
      <c r="D16" s="227">
        <f>C16-B16</f>
        <v>0</v>
      </c>
      <c r="E16" s="228">
        <f t="shared" si="0"/>
      </c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</row>
    <row r="17" spans="1:17" s="146" customFormat="1" ht="14.25">
      <c r="A17" s="230" t="str">
        <f>IF('Balanse og resultat'!D18=0,"",'Balanse og resultat'!D18)</f>
        <v>Annen rente- og finanskostnad</v>
      </c>
      <c r="B17" s="247"/>
      <c r="C17" s="335">
        <f>IF('Balanse og resultat'!E18=0,0,'Balanse og resultat'!E18)</f>
        <v>0</v>
      </c>
      <c r="D17" s="231">
        <f>C17-B17</f>
        <v>0</v>
      </c>
      <c r="E17" s="232">
        <f t="shared" si="0"/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</row>
    <row r="18" spans="1:17" s="146" customFormat="1" ht="15">
      <c r="A18" s="224" t="str">
        <f>IF('Balanse og resultat'!D19=0,"",'Balanse og resultat'!D19)</f>
        <v>Ordinært resultat før skattekostnad</v>
      </c>
      <c r="B18" s="360">
        <f>B15+B16-B17</f>
        <v>0</v>
      </c>
      <c r="C18" s="234">
        <f>C15+C16-C17</f>
        <v>0</v>
      </c>
      <c r="D18" s="234">
        <f>D15+D16-D17</f>
        <v>0</v>
      </c>
      <c r="E18" s="225">
        <f t="shared" si="0"/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</row>
    <row r="19" spans="1:17" s="146" customFormat="1" ht="14.25">
      <c r="A19" s="230" t="str">
        <f>IF('Balanse og resultat'!D20=0,"",'Balanse og resultat'!D20)</f>
        <v>Skattekostnad på ordinært resultat</v>
      </c>
      <c r="B19" s="342"/>
      <c r="C19" s="231">
        <f>IF('Balanse og resultat'!E20=0,0,'Balanse og resultat'!E20)</f>
        <v>0</v>
      </c>
      <c r="D19" s="334">
        <f>C19-B19</f>
        <v>0</v>
      </c>
      <c r="E19" s="232">
        <f t="shared" si="0"/>
      </c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</row>
    <row r="20" spans="1:17" s="149" customFormat="1" ht="15">
      <c r="A20" s="224" t="str">
        <f>IF('Balanse og resultat'!D21=0,"",'Balanse og resultat'!D21)</f>
        <v>Ordinært resultat</v>
      </c>
      <c r="B20" s="360">
        <f>B18-B19</f>
        <v>0</v>
      </c>
      <c r="C20" s="234">
        <f>C18-C19</f>
        <v>0</v>
      </c>
      <c r="D20" s="234">
        <f>D18-D19</f>
        <v>0</v>
      </c>
      <c r="E20" s="225">
        <f t="shared" si="0"/>
      </c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</row>
    <row r="21" spans="1:17" s="149" customFormat="1" ht="14.25">
      <c r="A21" s="226" t="str">
        <f>IF('Balanse og resultat'!D22=0,"",'Balanse og resultat'!D22)</f>
        <v>Ekstraordinær inntekt</v>
      </c>
      <c r="B21" s="246"/>
      <c r="C21" s="227">
        <f>IF('Balanse og resultat'!E22=0,0,'Balanse og resultat'!E22)</f>
        <v>0</v>
      </c>
      <c r="D21" s="227">
        <f>C21-B21</f>
        <v>0</v>
      </c>
      <c r="E21" s="228">
        <f t="shared" si="0"/>
      </c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</row>
    <row r="22" spans="1:17" s="149" customFormat="1" ht="14.25">
      <c r="A22" s="226" t="str">
        <f>IF('Balanse og resultat'!D23=0,"",'Balanse og resultat'!D23)</f>
        <v>Ekstraordinær kostnad</v>
      </c>
      <c r="B22" s="246"/>
      <c r="C22" s="339">
        <f>IF('Balanse og resultat'!E23=0,0,'Balanse og resultat'!E23)</f>
        <v>0</v>
      </c>
      <c r="D22" s="227">
        <f>C22-B22</f>
        <v>0</v>
      </c>
      <c r="E22" s="228">
        <f t="shared" si="0"/>
      </c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</row>
    <row r="23" spans="1:17" s="146" customFormat="1" ht="14.25">
      <c r="A23" s="230" t="str">
        <f>IF('Balanse og resultat'!D24=0,"",'Balanse og resultat'!D24)</f>
        <v>Skattekostnad på ekstraordinært resultat</v>
      </c>
      <c r="B23" s="247"/>
      <c r="C23" s="335">
        <f>IF('Balanse og resultat'!E24=0,0,'Balanse og resultat'!E24)</f>
        <v>0</v>
      </c>
      <c r="D23" s="231">
        <f>C23-B23</f>
        <v>0</v>
      </c>
      <c r="E23" s="232">
        <f t="shared" si="0"/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</row>
    <row r="24" spans="1:17" s="149" customFormat="1" ht="15">
      <c r="A24" s="224" t="str">
        <f>IF('Balanse og resultat'!D25=0,"",'Balanse og resultat'!D25)</f>
        <v>Årsresultat</v>
      </c>
      <c r="B24" s="360">
        <f>B20+B21-B22-B23</f>
        <v>0</v>
      </c>
      <c r="C24" s="340">
        <f>C20+C21-C22-C23</f>
        <v>0</v>
      </c>
      <c r="D24" s="340">
        <f>D20+D21-D22-D23</f>
        <v>0</v>
      </c>
      <c r="E24" s="225">
        <f t="shared" si="0"/>
      </c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</row>
    <row r="25" spans="1:17" s="146" customFormat="1" ht="15">
      <c r="A25" s="338" t="str">
        <f>IF('Balanse og resultat'!D26=0,"",'Balanse og resultat'!D26)</f>
        <v>Overføringer:</v>
      </c>
      <c r="B25" s="361"/>
      <c r="C25" s="336">
        <f>IF('Balanse og resultat'!E26=0,0,'Balanse og resultat'!E26)</f>
        <v>0</v>
      </c>
      <c r="D25" s="337">
        <f>C25-B25</f>
        <v>0</v>
      </c>
      <c r="E25" s="331">
        <f t="shared" si="0"/>
      </c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</row>
    <row r="26" spans="1:17" s="167" customFormat="1" ht="14.25">
      <c r="A26" s="226" t="str">
        <f>IF('Balanse og resultat'!D27=0,"",'Balanse og resultat'!D27)</f>
        <v>Utbytte</v>
      </c>
      <c r="B26" s="341"/>
      <c r="C26" s="339">
        <f>IF('Balanse og resultat'!E27=0,0,'Balanse og resultat'!E27)</f>
        <v>0</v>
      </c>
      <c r="D26" s="227">
        <f>C26-B26</f>
        <v>0</v>
      </c>
      <c r="E26" s="228">
        <f t="shared" si="0"/>
      </c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</row>
    <row r="27" spans="1:17" s="167" customFormat="1" ht="14.25">
      <c r="A27" s="230" t="str">
        <f>IF('Balanse og resultat'!D28=0,"",'Balanse og resultat'!D28)</f>
        <v>Overført annen egenkapital</v>
      </c>
      <c r="B27" s="342"/>
      <c r="C27" s="335">
        <f>IF('Balanse og resultat'!E28=0,0,'Balanse og resultat'!E28)</f>
        <v>0</v>
      </c>
      <c r="D27" s="231">
        <f>C27-B27</f>
        <v>0</v>
      </c>
      <c r="E27" s="232">
        <f t="shared" si="0"/>
      </c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</row>
    <row r="28" spans="1:17" s="165" customFormat="1" ht="15">
      <c r="A28" s="224" t="str">
        <f>IF('Balanse og resultat'!D29=0,"",'Balanse og resultat'!D29)</f>
        <v>Sum overføringer</v>
      </c>
      <c r="B28" s="360">
        <f>SUM(B26:B27)</f>
        <v>0</v>
      </c>
      <c r="C28" s="340">
        <f>SUM(C26:C27)</f>
        <v>0</v>
      </c>
      <c r="D28" s="340">
        <f>SUM(D26:D27)</f>
        <v>0</v>
      </c>
      <c r="E28" s="225">
        <f t="shared" si="0"/>
      </c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</row>
    <row r="29" spans="1:17" s="165" customFormat="1" ht="14.25">
      <c r="A29" s="238"/>
      <c r="B29" s="236"/>
      <c r="C29" s="236"/>
      <c r="D29" s="236"/>
      <c r="E29" s="236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</row>
    <row r="30" spans="1:17" s="165" customFormat="1" ht="14.25">
      <c r="A30" s="239"/>
      <c r="B30" s="236"/>
      <c r="C30" s="236"/>
      <c r="D30" s="236"/>
      <c r="E30" s="236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</row>
    <row r="31" spans="1:17" s="165" customFormat="1" ht="12.75">
      <c r="A31" s="237"/>
      <c r="B31" s="240"/>
      <c r="C31" s="240"/>
      <c r="D31" s="240"/>
      <c r="E31" s="240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</row>
    <row r="32" spans="1:17" s="165" customFormat="1" ht="12.75">
      <c r="A32" s="237"/>
      <c r="B32" s="240"/>
      <c r="C32" s="240"/>
      <c r="D32" s="240"/>
      <c r="E32" s="240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</row>
    <row r="33" spans="1:17" ht="12.75">
      <c r="A33" s="237"/>
      <c r="B33" s="237"/>
      <c r="C33" s="237"/>
      <c r="D33" s="237"/>
      <c r="E33" s="237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</row>
    <row r="34" spans="1:17" ht="12.75">
      <c r="A34" s="237"/>
      <c r="B34" s="237"/>
      <c r="C34" s="237"/>
      <c r="D34" s="237"/>
      <c r="E34" s="237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</row>
    <row r="35" spans="1:17" ht="12.75">
      <c r="A35" s="237"/>
      <c r="B35" s="237"/>
      <c r="C35" s="237"/>
      <c r="D35" s="237"/>
      <c r="E35" s="237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</row>
    <row r="36" spans="1:5" ht="12.75">
      <c r="A36" s="165"/>
      <c r="B36" s="165"/>
      <c r="C36" s="165"/>
      <c r="D36" s="165"/>
      <c r="E36" s="165"/>
    </row>
    <row r="37" spans="1:5" ht="12.75">
      <c r="A37" s="165"/>
      <c r="B37" s="165"/>
      <c r="C37" s="165"/>
      <c r="D37" s="165"/>
      <c r="E37" s="165"/>
    </row>
    <row r="38" spans="1:5" ht="12.75">
      <c r="A38" s="165"/>
      <c r="B38" s="165"/>
      <c r="C38" s="165"/>
      <c r="D38" s="165"/>
      <c r="E38" s="165"/>
    </row>
    <row r="39" spans="1:5" ht="12.75">
      <c r="A39" s="165"/>
      <c r="B39" s="165"/>
      <c r="C39" s="165"/>
      <c r="D39" s="165"/>
      <c r="E39" s="165"/>
    </row>
    <row r="40" spans="1:5" ht="12.75">
      <c r="A40" s="165"/>
      <c r="B40" s="165"/>
      <c r="C40" s="165"/>
      <c r="D40" s="165"/>
      <c r="E40" s="165"/>
    </row>
    <row r="41" spans="1:5" ht="12.75">
      <c r="A41" s="165"/>
      <c r="B41" s="165"/>
      <c r="C41" s="165"/>
      <c r="D41" s="165"/>
      <c r="E41" s="165"/>
    </row>
    <row r="42" spans="1:5" ht="12.75">
      <c r="A42" s="165"/>
      <c r="B42" s="165"/>
      <c r="C42" s="165"/>
      <c r="D42" s="165"/>
      <c r="E42" s="165"/>
    </row>
    <row r="43" spans="1:5" ht="12.75">
      <c r="A43" s="165"/>
      <c r="B43" s="165"/>
      <c r="C43" s="165"/>
      <c r="D43" s="165"/>
      <c r="E43" s="165"/>
    </row>
    <row r="44" spans="1:5" ht="12.75">
      <c r="A44" s="165"/>
      <c r="B44" s="165"/>
      <c r="C44" s="165"/>
      <c r="D44" s="165"/>
      <c r="E44" s="165"/>
    </row>
    <row r="45" spans="1:5" ht="12.75">
      <c r="A45" s="165"/>
      <c r="B45" s="165"/>
      <c r="C45" s="165"/>
      <c r="D45" s="165"/>
      <c r="E45" s="165"/>
    </row>
    <row r="46" spans="1:5" ht="12.75">
      <c r="A46" s="165"/>
      <c r="B46" s="165"/>
      <c r="C46" s="165"/>
      <c r="D46" s="165"/>
      <c r="E46" s="165"/>
    </row>
    <row r="47" spans="1:5" ht="14.25">
      <c r="A47" s="148" t="str">
        <f>"Navn:/oppgavenr.: "&amp;Konteringsliste!C2</f>
        <v>Navn:/oppgavenr.: </v>
      </c>
      <c r="B47" s="165"/>
      <c r="C47" s="165"/>
      <c r="D47" s="165"/>
      <c r="E47" s="165"/>
    </row>
    <row r="48" spans="1:5" ht="12.75">
      <c r="A48" s="165"/>
      <c r="B48" s="165"/>
      <c r="C48" s="165"/>
      <c r="D48" s="165"/>
      <c r="E48" s="165"/>
    </row>
    <row r="49" spans="1:6" ht="20.25">
      <c r="A49" s="242" t="str">
        <f aca="true" t="shared" si="1" ref="A49:A71">IF(A4=0,"",A4)</f>
        <v>  Budsjett og regnskap </v>
      </c>
      <c r="B49" s="243"/>
      <c r="C49" s="243"/>
      <c r="D49" s="243"/>
      <c r="E49" s="244"/>
      <c r="F49" s="165">
        <f>IF(F4=0,"",F4)</f>
      </c>
    </row>
    <row r="50" spans="1:5" ht="18">
      <c r="A50" s="345">
        <f t="shared" si="1"/>
      </c>
      <c r="B50" s="350" t="str">
        <f aca="true" t="shared" si="2" ref="B50:E71">IF(B5=0,"",B5)</f>
        <v>Budsjett</v>
      </c>
      <c r="C50" s="350" t="str">
        <f t="shared" si="2"/>
        <v>Regnskap</v>
      </c>
      <c r="D50" s="350" t="str">
        <f t="shared" si="2"/>
        <v>Avvik i kr</v>
      </c>
      <c r="E50" s="346" t="str">
        <f t="shared" si="2"/>
        <v>Avvik i %</v>
      </c>
    </row>
    <row r="51" spans="1:5" ht="14.25">
      <c r="A51" s="343" t="str">
        <f t="shared" si="1"/>
        <v>Salgsinntekt</v>
      </c>
      <c r="B51" s="351">
        <f t="shared" si="2"/>
      </c>
      <c r="C51" s="351">
        <f t="shared" si="2"/>
      </c>
      <c r="D51" s="351">
        <f t="shared" si="2"/>
      </c>
      <c r="E51" s="369">
        <f t="shared" si="2"/>
      </c>
    </row>
    <row r="52" spans="1:5" ht="14.25">
      <c r="A52" s="344" t="str">
        <f t="shared" si="1"/>
        <v>Annen driftsinntekt</v>
      </c>
      <c r="B52" s="352">
        <f t="shared" si="2"/>
      </c>
      <c r="C52" s="352">
        <f t="shared" si="2"/>
      </c>
      <c r="D52" s="352">
        <f t="shared" si="2"/>
      </c>
      <c r="E52" s="370">
        <f t="shared" si="2"/>
      </c>
    </row>
    <row r="53" spans="1:5" ht="15">
      <c r="A53" s="348" t="str">
        <f t="shared" si="1"/>
        <v>Sum driftsinntekter</v>
      </c>
      <c r="B53" s="353">
        <f t="shared" si="2"/>
      </c>
      <c r="C53" s="353">
        <f t="shared" si="2"/>
      </c>
      <c r="D53" s="353">
        <f t="shared" si="2"/>
      </c>
      <c r="E53" s="371">
        <f t="shared" si="2"/>
      </c>
    </row>
    <row r="54" spans="1:5" ht="14.25">
      <c r="A54" s="343" t="str">
        <f t="shared" si="1"/>
        <v>Varekostnad</v>
      </c>
      <c r="B54" s="351">
        <f t="shared" si="2"/>
      </c>
      <c r="C54" s="351">
        <f t="shared" si="2"/>
      </c>
      <c r="D54" s="351">
        <f t="shared" si="2"/>
      </c>
      <c r="E54" s="369">
        <f t="shared" si="2"/>
      </c>
    </row>
    <row r="55" spans="1:5" ht="14.25">
      <c r="A55" s="343" t="str">
        <f t="shared" si="1"/>
        <v>Endring i beholdning ViA og Fv</v>
      </c>
      <c r="B55" s="351">
        <f t="shared" si="2"/>
      </c>
      <c r="C55" s="351">
        <f t="shared" si="2"/>
      </c>
      <c r="D55" s="351">
        <f t="shared" si="2"/>
      </c>
      <c r="E55" s="369">
        <f t="shared" si="2"/>
      </c>
    </row>
    <row r="56" spans="1:5" ht="14.25">
      <c r="A56" s="343" t="str">
        <f t="shared" si="1"/>
        <v>Lønnskostnad</v>
      </c>
      <c r="B56" s="351">
        <f t="shared" si="2"/>
      </c>
      <c r="C56" s="351">
        <f t="shared" si="2"/>
      </c>
      <c r="D56" s="351">
        <f t="shared" si="2"/>
      </c>
      <c r="E56" s="369">
        <f t="shared" si="2"/>
      </c>
    </row>
    <row r="57" spans="1:5" ht="14.25">
      <c r="A57" s="343" t="str">
        <f t="shared" si="1"/>
        <v>Avskrivning</v>
      </c>
      <c r="B57" s="351">
        <f t="shared" si="2"/>
      </c>
      <c r="C57" s="351">
        <f t="shared" si="2"/>
      </c>
      <c r="D57" s="351">
        <f t="shared" si="2"/>
      </c>
      <c r="E57" s="369">
        <f t="shared" si="2"/>
      </c>
    </row>
    <row r="58" spans="1:5" ht="14.25">
      <c r="A58" s="344" t="str">
        <f t="shared" si="1"/>
        <v>Annen driftskostnad</v>
      </c>
      <c r="B58" s="352">
        <f t="shared" si="2"/>
      </c>
      <c r="C58" s="352">
        <f t="shared" si="2"/>
      </c>
      <c r="D58" s="352">
        <f t="shared" si="2"/>
      </c>
      <c r="E58" s="370">
        <f t="shared" si="2"/>
      </c>
    </row>
    <row r="59" spans="1:5" ht="15">
      <c r="A59" s="348" t="str">
        <f t="shared" si="1"/>
        <v>Sum driftskostnader</v>
      </c>
      <c r="B59" s="353">
        <f t="shared" si="2"/>
      </c>
      <c r="C59" s="353">
        <f t="shared" si="2"/>
      </c>
      <c r="D59" s="353">
        <f t="shared" si="2"/>
      </c>
      <c r="E59" s="371">
        <f t="shared" si="2"/>
      </c>
    </row>
    <row r="60" spans="1:5" ht="15">
      <c r="A60" s="348" t="str">
        <f t="shared" si="1"/>
        <v>Driftsresultat</v>
      </c>
      <c r="B60" s="353">
        <f t="shared" si="2"/>
      </c>
      <c r="C60" s="353">
        <f t="shared" si="2"/>
      </c>
      <c r="D60" s="353">
        <f t="shared" si="2"/>
      </c>
      <c r="E60" s="371">
        <f t="shared" si="2"/>
      </c>
    </row>
    <row r="61" spans="1:5" ht="14.25">
      <c r="A61" s="343" t="str">
        <f t="shared" si="1"/>
        <v>Annen rente- og finansinntekt</v>
      </c>
      <c r="B61" s="351">
        <f t="shared" si="2"/>
      </c>
      <c r="C61" s="351">
        <f t="shared" si="2"/>
      </c>
      <c r="D61" s="351">
        <f t="shared" si="2"/>
      </c>
      <c r="E61" s="369">
        <f t="shared" si="2"/>
      </c>
    </row>
    <row r="62" spans="1:5" ht="14.25">
      <c r="A62" s="344" t="str">
        <f t="shared" si="1"/>
        <v>Annen rente- og finanskostnad</v>
      </c>
      <c r="B62" s="352">
        <f t="shared" si="2"/>
      </c>
      <c r="C62" s="352">
        <f t="shared" si="2"/>
      </c>
      <c r="D62" s="352">
        <f t="shared" si="2"/>
      </c>
      <c r="E62" s="370">
        <f t="shared" si="2"/>
      </c>
    </row>
    <row r="63" spans="1:5" ht="15">
      <c r="A63" s="348" t="str">
        <f t="shared" si="1"/>
        <v>Ordinært resultat før skattekostnad</v>
      </c>
      <c r="B63" s="353">
        <f t="shared" si="2"/>
      </c>
      <c r="C63" s="353">
        <f t="shared" si="2"/>
      </c>
      <c r="D63" s="353">
        <f t="shared" si="2"/>
      </c>
      <c r="E63" s="371">
        <f t="shared" si="2"/>
      </c>
    </row>
    <row r="64" spans="1:5" ht="14.25">
      <c r="A64" s="347" t="str">
        <f t="shared" si="1"/>
        <v>Skattekostnad på ordinært resultat</v>
      </c>
      <c r="B64" s="354">
        <f t="shared" si="2"/>
      </c>
      <c r="C64" s="354">
        <f t="shared" si="2"/>
      </c>
      <c r="D64" s="354">
        <f t="shared" si="2"/>
      </c>
      <c r="E64" s="372">
        <f t="shared" si="2"/>
      </c>
    </row>
    <row r="65" spans="1:5" ht="15">
      <c r="A65" s="348" t="str">
        <f t="shared" si="1"/>
        <v>Ordinært resultat</v>
      </c>
      <c r="B65" s="353">
        <f t="shared" si="2"/>
      </c>
      <c r="C65" s="353">
        <f t="shared" si="2"/>
      </c>
      <c r="D65" s="353">
        <f t="shared" si="2"/>
      </c>
      <c r="E65" s="371">
        <f t="shared" si="2"/>
      </c>
    </row>
    <row r="66" spans="1:5" ht="14.25">
      <c r="A66" s="343" t="str">
        <f t="shared" si="1"/>
        <v>Ekstraordinær inntekt</v>
      </c>
      <c r="B66" s="351">
        <f t="shared" si="2"/>
      </c>
      <c r="C66" s="351">
        <f t="shared" si="2"/>
      </c>
      <c r="D66" s="351">
        <f t="shared" si="2"/>
      </c>
      <c r="E66" s="369">
        <f t="shared" si="2"/>
      </c>
    </row>
    <row r="67" spans="1:5" ht="14.25">
      <c r="A67" s="343" t="str">
        <f t="shared" si="1"/>
        <v>Ekstraordinær kostnad</v>
      </c>
      <c r="B67" s="351">
        <f t="shared" si="2"/>
      </c>
      <c r="C67" s="351">
        <f t="shared" si="2"/>
      </c>
      <c r="D67" s="351">
        <f t="shared" si="2"/>
      </c>
      <c r="E67" s="369">
        <f t="shared" si="2"/>
      </c>
    </row>
    <row r="68" spans="1:5" ht="14.25">
      <c r="A68" s="344" t="str">
        <f t="shared" si="1"/>
        <v>Skattekostnad på ekstraordinært resultat</v>
      </c>
      <c r="B68" s="352">
        <f t="shared" si="2"/>
      </c>
      <c r="C68" s="352">
        <f t="shared" si="2"/>
      </c>
      <c r="D68" s="352">
        <f t="shared" si="2"/>
      </c>
      <c r="E68" s="370">
        <f t="shared" si="2"/>
      </c>
    </row>
    <row r="69" spans="1:5" ht="15">
      <c r="A69" s="348" t="str">
        <f t="shared" si="1"/>
        <v>Årsresultat</v>
      </c>
      <c r="B69" s="353">
        <f t="shared" si="2"/>
      </c>
      <c r="C69" s="353">
        <f t="shared" si="2"/>
      </c>
      <c r="D69" s="353">
        <f t="shared" si="2"/>
      </c>
      <c r="E69" s="371">
        <f t="shared" si="2"/>
      </c>
    </row>
    <row r="70" spans="1:5" ht="15">
      <c r="A70" s="245" t="str">
        <f t="shared" si="1"/>
        <v>Overføringer:</v>
      </c>
      <c r="B70" s="351">
        <f t="shared" si="2"/>
      </c>
      <c r="C70" s="351">
        <f t="shared" si="2"/>
      </c>
      <c r="D70" s="351">
        <f t="shared" si="2"/>
      </c>
      <c r="E70" s="369">
        <f t="shared" si="2"/>
      </c>
    </row>
    <row r="71" spans="1:5" ht="14.25">
      <c r="A71" s="343" t="str">
        <f t="shared" si="1"/>
        <v>Utbytte</v>
      </c>
      <c r="B71" s="351">
        <f t="shared" si="2"/>
      </c>
      <c r="C71" s="351">
        <f t="shared" si="2"/>
      </c>
      <c r="D71" s="351">
        <f t="shared" si="2"/>
      </c>
      <c r="E71" s="369">
        <f t="shared" si="2"/>
      </c>
    </row>
    <row r="72" spans="1:5" ht="14.25">
      <c r="A72" s="344" t="str">
        <f aca="true" t="shared" si="3" ref="A72:E73">IF(A27=0,"",A27)</f>
        <v>Overført annen egenkapital</v>
      </c>
      <c r="B72" s="352">
        <f t="shared" si="3"/>
      </c>
      <c r="C72" s="352">
        <f t="shared" si="3"/>
      </c>
      <c r="D72" s="352">
        <f t="shared" si="3"/>
      </c>
      <c r="E72" s="370">
        <f t="shared" si="3"/>
      </c>
    </row>
    <row r="73" spans="1:5" ht="15">
      <c r="A73" s="349" t="str">
        <f t="shared" si="3"/>
        <v>Sum overføringer</v>
      </c>
      <c r="B73" s="355">
        <f t="shared" si="3"/>
      </c>
      <c r="C73" s="355">
        <f t="shared" si="3"/>
      </c>
      <c r="D73" s="355">
        <f t="shared" si="3"/>
      </c>
      <c r="E73" s="373">
        <f t="shared" si="3"/>
      </c>
    </row>
  </sheetData>
  <sheetProtection sheet="1" objects="1" scenarios="1"/>
  <printOptions/>
  <pageMargins left="0.59" right="0.43" top="1" bottom="1" header="0.5" footer="0.5"/>
  <pageSetup fitToHeight="1" fitToWidth="1" horizontalDpi="300" verticalDpi="300" orientation="portrait" paperSize="9" scale="94" r:id="rId2"/>
  <headerFooter alignWithMargins="0">
    <oddHeader>&amp;RUtskriftsdato &amp;D</oddHeader>
    <oddFooter>&amp;LJohs Totland 19©98&amp;C&amp;F &amp;A&amp;RSide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M21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7.7109375" style="253" customWidth="1"/>
    <col min="2" max="2" width="18.28125" style="253" customWidth="1"/>
    <col min="3" max="3" width="10.28125" style="253" customWidth="1"/>
    <col min="4" max="4" width="9.140625" style="253" customWidth="1"/>
    <col min="5" max="5" width="7.7109375" style="253" customWidth="1"/>
    <col min="6" max="6" width="18.28125" style="253" customWidth="1"/>
    <col min="7" max="7" width="10.28125" style="253" customWidth="1"/>
    <col min="8" max="16384" width="9.140625" style="253" customWidth="1"/>
  </cols>
  <sheetData>
    <row r="1" spans="1:13" ht="27" customHeight="1">
      <c r="A1" s="251"/>
      <c r="B1" s="251"/>
      <c r="C1" s="251"/>
      <c r="D1" s="191"/>
      <c r="E1" s="192"/>
      <c r="F1" s="191"/>
      <c r="G1" s="252"/>
      <c r="H1" s="252"/>
      <c r="I1" s="252"/>
      <c r="J1" s="252"/>
      <c r="K1" s="252"/>
      <c r="L1" s="252"/>
      <c r="M1" s="252"/>
    </row>
    <row r="2" spans="1:6" ht="12.75" customHeight="1">
      <c r="A2" s="298" t="str">
        <f>"Navn:/oppgavenr.: "&amp;Konteringsliste!C2</f>
        <v>Navn:/oppgavenr.: </v>
      </c>
      <c r="B2" s="269"/>
      <c r="C2" s="269"/>
      <c r="D2" s="270"/>
      <c r="E2" s="271"/>
      <c r="F2" s="270"/>
    </row>
    <row r="3" spans="1:7" ht="18.75" customHeight="1">
      <c r="A3" s="312">
        <f>Konteringsliste!E2</f>
        <v>0</v>
      </c>
      <c r="B3" s="299"/>
      <c r="C3" s="299"/>
      <c r="D3" s="299"/>
      <c r="E3" s="299"/>
      <c r="F3" s="299"/>
      <c r="G3" s="299"/>
    </row>
    <row r="4" spans="1:6" ht="15.75">
      <c r="A4" s="175" t="s">
        <v>100</v>
      </c>
      <c r="B4" s="173"/>
      <c r="C4" s="174"/>
      <c r="D4" s="254"/>
      <c r="E4" s="175" t="s">
        <v>101</v>
      </c>
      <c r="F4" s="254"/>
    </row>
    <row r="5" spans="1:7" ht="12.75">
      <c r="A5" s="255" t="s">
        <v>102</v>
      </c>
      <c r="B5" s="256" t="s">
        <v>103</v>
      </c>
      <c r="C5" s="257" t="s">
        <v>104</v>
      </c>
      <c r="E5" s="255" t="s">
        <v>105</v>
      </c>
      <c r="F5" s="256" t="s">
        <v>106</v>
      </c>
      <c r="G5" s="257" t="s">
        <v>104</v>
      </c>
    </row>
    <row r="6" spans="1:10" ht="12.75">
      <c r="A6" s="258">
        <f>Konteringsliste!AY5</f>
        <v>15000</v>
      </c>
      <c r="B6" s="259">
        <f>IF(Konteringsliste!I138=0,"",VLOOKUP(A6,kontoplan,2))</f>
      </c>
      <c r="C6" s="260">
        <f>Konteringsliste!AY138</f>
        <v>0</v>
      </c>
      <c r="E6" s="258">
        <f>Konteringsliste!BI5</f>
        <v>24000</v>
      </c>
      <c r="F6" s="259">
        <f>IF(Konteringsliste!I138=0,"",VLOOKUP(E6,kontoplan,2))</f>
      </c>
      <c r="G6" s="260">
        <f>Konteringsliste!BI138</f>
        <v>0</v>
      </c>
      <c r="H6" s="254"/>
      <c r="I6" s="259"/>
      <c r="J6" s="261"/>
    </row>
    <row r="7" spans="1:10" ht="12.75">
      <c r="A7" s="258">
        <f>Konteringsliste!AZ5</f>
        <v>15001</v>
      </c>
      <c r="B7" s="259">
        <f>IF(Konteringsliste!AZ138=0,"",VLOOKUP(A7,kontoplan,2))</f>
      </c>
      <c r="C7" s="260">
        <f>Konteringsliste!AZ138</f>
        <v>0</v>
      </c>
      <c r="E7" s="258">
        <f>Konteringsliste!BJ5</f>
        <v>24001</v>
      </c>
      <c r="F7" s="259">
        <f>IF(Konteringsliste!BJ138=0,"",VLOOKUP(E7,kontoplan,2))</f>
      </c>
      <c r="G7" s="260">
        <f>Konteringsliste!BJ138</f>
        <v>0</v>
      </c>
      <c r="H7" s="262"/>
      <c r="I7" s="262"/>
      <c r="J7" s="262"/>
    </row>
    <row r="8" spans="1:10" ht="12.75">
      <c r="A8" s="258">
        <f>Konteringsliste!BA5</f>
        <v>15002</v>
      </c>
      <c r="B8" s="259">
        <f>IF(Konteringsliste!BA138=0,"",VLOOKUP(A8,kontoplan,2))</f>
      </c>
      <c r="C8" s="260">
        <f>Konteringsliste!BA138</f>
        <v>0</v>
      </c>
      <c r="E8" s="258">
        <f>Konteringsliste!BK5</f>
        <v>24002</v>
      </c>
      <c r="F8" s="259">
        <f>IF(Konteringsliste!BK138=0,"",VLOOKUP(E8,kontoplan,2))</f>
      </c>
      <c r="G8" s="260">
        <f>Konteringsliste!BK138</f>
        <v>0</v>
      </c>
      <c r="H8" s="262"/>
      <c r="I8" s="262"/>
      <c r="J8" s="262"/>
    </row>
    <row r="9" spans="1:10" ht="12.75">
      <c r="A9" s="258">
        <f>Konteringsliste!BB5</f>
        <v>15003</v>
      </c>
      <c r="B9" s="259">
        <f>IF(Konteringsliste!BB138=0,"",VLOOKUP(A9,kontoplan,2))</f>
      </c>
      <c r="C9" s="260">
        <f>Konteringsliste!BB138</f>
        <v>0</v>
      </c>
      <c r="E9" s="258">
        <f>Konteringsliste!BL5</f>
        <v>24003</v>
      </c>
      <c r="F9" s="259">
        <f>IF(Konteringsliste!BL138=0,"",VLOOKUP(E9,kontoplan,2))</f>
      </c>
      <c r="G9" s="260">
        <f>Konteringsliste!BL138</f>
        <v>0</v>
      </c>
      <c r="H9" s="262"/>
      <c r="I9" s="262"/>
      <c r="J9" s="262"/>
    </row>
    <row r="10" spans="1:10" ht="12.75">
      <c r="A10" s="258">
        <f>Konteringsliste!BC5</f>
        <v>15004</v>
      </c>
      <c r="B10" s="259">
        <f>IF(Konteringsliste!BC138=0,"",VLOOKUP(A10,kontoplan,2))</f>
      </c>
      <c r="C10" s="260">
        <f>Konteringsliste!BC138</f>
        <v>0</v>
      </c>
      <c r="E10" s="258">
        <f>Konteringsliste!BM5</f>
        <v>24004</v>
      </c>
      <c r="F10" s="259">
        <f>IF(Konteringsliste!BM138=0,"",VLOOKUP(E10,kontoplan,2))</f>
      </c>
      <c r="G10" s="260">
        <f>Konteringsliste!BM138</f>
        <v>0</v>
      </c>
      <c r="H10" s="262"/>
      <c r="I10" s="262"/>
      <c r="J10" s="262"/>
    </row>
    <row r="11" spans="1:10" ht="12.75">
      <c r="A11" s="258">
        <f>Konteringsliste!BD5</f>
        <v>15005</v>
      </c>
      <c r="B11" s="259">
        <f>IF(Konteringsliste!BD138=0,"",VLOOKUP(A11,kontoplan,2))</f>
      </c>
      <c r="C11" s="260">
        <f>Konteringsliste!BD138</f>
        <v>0</v>
      </c>
      <c r="E11" s="258">
        <f>Konteringsliste!BN5</f>
        <v>24005</v>
      </c>
      <c r="F11" s="259">
        <f>IF(Konteringsliste!BN138=0,"",VLOOKUP(E11,kontoplan,2))</f>
      </c>
      <c r="G11" s="260">
        <f>Konteringsliste!BN138</f>
        <v>0</v>
      </c>
      <c r="H11" s="262"/>
      <c r="I11" s="262"/>
      <c r="J11" s="262"/>
    </row>
    <row r="12" spans="1:10" ht="12.75">
      <c r="A12" s="258">
        <f>Konteringsliste!BE5</f>
        <v>15006</v>
      </c>
      <c r="B12" s="259">
        <f>IF(Konteringsliste!BE138=0,"",VLOOKUP(A12,kontoplan,2))</f>
      </c>
      <c r="C12" s="260">
        <f>Konteringsliste!BE138</f>
        <v>0</v>
      </c>
      <c r="E12" s="258">
        <f>Konteringsliste!BO5</f>
        <v>24006</v>
      </c>
      <c r="F12" s="259">
        <f>IF(Konteringsliste!BO138=0,"",VLOOKUP(E12,kontoplan,2))</f>
      </c>
      <c r="G12" s="260">
        <f>Konteringsliste!BO138</f>
        <v>0</v>
      </c>
      <c r="H12" s="262"/>
      <c r="I12" s="262"/>
      <c r="J12" s="262"/>
    </row>
    <row r="13" spans="1:7" ht="12.75">
      <c r="A13" s="258">
        <f>Konteringsliste!BF5</f>
        <v>15007</v>
      </c>
      <c r="B13" s="259">
        <f>IF(Konteringsliste!BF138=0,"",VLOOKUP(A13,kontoplan,2))</f>
      </c>
      <c r="C13" s="260">
        <f>Konteringsliste!BF138</f>
        <v>0</v>
      </c>
      <c r="E13" s="258">
        <f>Konteringsliste!BP5</f>
        <v>24007</v>
      </c>
      <c r="F13" s="259">
        <f>IF(Konteringsliste!BP138=0,"",VLOOKUP(E13,kontoplan,2))</f>
      </c>
      <c r="G13" s="260">
        <f>Konteringsliste!BP138</f>
        <v>0</v>
      </c>
    </row>
    <row r="14" spans="1:7" ht="12.75">
      <c r="A14" s="258">
        <f>Konteringsliste!BG5</f>
        <v>15008</v>
      </c>
      <c r="B14" s="259">
        <f>IF(Konteringsliste!BG138=0,"",VLOOKUP(A14,kontoplan,2))</f>
      </c>
      <c r="C14" s="260">
        <f>Konteringsliste!BG138</f>
        <v>0</v>
      </c>
      <c r="E14" s="258">
        <f>Konteringsliste!BQ5</f>
        <v>24008</v>
      </c>
      <c r="F14" s="259">
        <f>IF(Konteringsliste!BQ138=0,"",VLOOKUP(E14,kontoplan,2))</f>
      </c>
      <c r="G14" s="260">
        <f>Konteringsliste!BQ138</f>
        <v>0</v>
      </c>
    </row>
    <row r="15" spans="1:7" ht="12.75">
      <c r="A15" s="263">
        <f>Konteringsliste!BH5</f>
        <v>15009</v>
      </c>
      <c r="B15" s="264">
        <f>IF(Konteringsliste!BH138=0,"",VLOOKUP(A15,kontoplan,2))</f>
      </c>
      <c r="C15" s="265">
        <f>Konteringsliste!BH138</f>
        <v>0</v>
      </c>
      <c r="E15" s="263">
        <f>Konteringsliste!BR5</f>
        <v>24009</v>
      </c>
      <c r="F15" s="264">
        <f>IF(Konteringsliste!BR138=0,"",VLOOKUP(E15,kontoplan,2))</f>
      </c>
      <c r="G15" s="265">
        <f>Konteringsliste!BR138</f>
        <v>0</v>
      </c>
    </row>
    <row r="16" spans="1:7" ht="12.75">
      <c r="A16" s="266" t="s">
        <v>107</v>
      </c>
      <c r="B16" s="267"/>
      <c r="C16" s="268">
        <f>SUM(C6:C15)</f>
        <v>0</v>
      </c>
      <c r="E16" s="266" t="s">
        <v>107</v>
      </c>
      <c r="F16" s="267"/>
      <c r="G16" s="268">
        <f>SUM(G6:G15)</f>
        <v>0</v>
      </c>
    </row>
    <row r="17" spans="1:3" ht="12.75">
      <c r="A17" s="254"/>
      <c r="B17" s="259"/>
      <c r="C17" s="261"/>
    </row>
    <row r="18" spans="1:3" ht="12.75">
      <c r="A18" s="254"/>
      <c r="B18" s="259"/>
      <c r="C18" s="261"/>
    </row>
    <row r="19" spans="1:3" ht="12.75">
      <c r="A19" s="254"/>
      <c r="B19" s="259"/>
      <c r="C19" s="261"/>
    </row>
    <row r="20" spans="1:3" ht="12.75">
      <c r="A20" s="254"/>
      <c r="B20" s="259"/>
      <c r="C20" s="261"/>
    </row>
    <row r="21" spans="1:3" ht="12.75">
      <c r="A21" s="254"/>
      <c r="B21" s="259"/>
      <c r="C21" s="261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portrait" paperSize="9" r:id="rId3"/>
  <headerFooter alignWithMargins="0">
    <oddHeader>&amp;RUtskriftsdato &amp;D</oddHeader>
    <oddFooter>&amp;LJohs Totland 19©98&amp;C&amp;F &amp;A&amp;RSide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S72"/>
  <sheetViews>
    <sheetView showGridLines="0" zoomScale="75" zoomScaleNormal="75" workbookViewId="0" topLeftCell="A1">
      <selection activeCell="B2" sqref="B2"/>
    </sheetView>
  </sheetViews>
  <sheetFormatPr defaultColWidth="11.421875" defaultRowHeight="12.75"/>
  <cols>
    <col min="1" max="1" width="6.140625" style="0" customWidth="1"/>
    <col min="2" max="2" width="18.00390625" style="0" customWidth="1"/>
    <col min="3" max="3" width="4.7109375" style="0" customWidth="1"/>
    <col min="4" max="4" width="20.57421875" style="0" customWidth="1"/>
    <col min="5" max="5" width="4.7109375" style="0" customWidth="1"/>
    <col min="6" max="6" width="5.7109375" style="0" customWidth="1"/>
    <col min="7" max="7" width="9.00390625" style="0" customWidth="1"/>
    <col min="8" max="8" width="4.7109375" style="0" customWidth="1"/>
    <col min="9" max="9" width="5.7109375" style="203" customWidth="1"/>
    <col min="10" max="10" width="9.28125" style="290" customWidth="1"/>
    <col min="11" max="11" width="4.28125" style="0" customWidth="1"/>
  </cols>
  <sheetData>
    <row r="1" spans="1:19" ht="36" customHeight="1">
      <c r="A1" s="190"/>
      <c r="B1" s="190"/>
      <c r="C1" s="190"/>
      <c r="D1" s="190"/>
      <c r="E1" s="190"/>
      <c r="F1" s="190"/>
      <c r="G1" s="190"/>
      <c r="H1" s="190"/>
      <c r="I1" s="248"/>
      <c r="J1" s="285"/>
      <c r="K1" s="190"/>
      <c r="L1" s="190"/>
      <c r="M1" s="190"/>
      <c r="N1" s="190"/>
      <c r="O1" s="190"/>
      <c r="P1" s="190"/>
      <c r="Q1" s="190"/>
      <c r="R1" s="190"/>
      <c r="S1" s="190"/>
    </row>
    <row r="2" spans="1:10" s="214" customFormat="1" ht="14.25">
      <c r="A2" s="431" t="e">
        <f>"Navn:/oppgavenr.: "&amp;#REF!</f>
        <v>#REF!</v>
      </c>
      <c r="I2" s="272"/>
      <c r="J2" s="286"/>
    </row>
    <row r="3" spans="1:10" s="214" customFormat="1" ht="14.25">
      <c r="A3" s="202"/>
      <c r="I3" s="272"/>
      <c r="J3" s="286"/>
    </row>
    <row r="4" spans="1:11" s="214" customFormat="1" ht="20.25">
      <c r="A4" s="202"/>
      <c r="I4" s="272"/>
      <c r="J4" s="402"/>
      <c r="K4" s="272"/>
    </row>
    <row r="5" spans="1:13" s="214" customFormat="1" ht="19.5" customHeight="1">
      <c r="A5" s="432" t="s">
        <v>205</v>
      </c>
      <c r="B5" s="433"/>
      <c r="C5" s="434"/>
      <c r="D5" s="433"/>
      <c r="E5" s="433"/>
      <c r="F5" s="433"/>
      <c r="G5" s="433"/>
      <c r="H5" s="433"/>
      <c r="I5" s="435"/>
      <c r="J5" s="435"/>
      <c r="K5" s="435"/>
      <c r="L5" s="435"/>
      <c r="M5" s="435"/>
    </row>
    <row r="6" spans="1:11" s="214" customFormat="1" ht="20.25">
      <c r="A6" s="202"/>
      <c r="J6" s="272"/>
      <c r="K6" s="403"/>
    </row>
    <row r="7" spans="1:13" s="214" customFormat="1" ht="17.25" customHeight="1">
      <c r="A7" s="202"/>
      <c r="B7" s="409" t="s">
        <v>206</v>
      </c>
      <c r="D7" s="436"/>
      <c r="E7" s="437"/>
      <c r="F7" s="437"/>
      <c r="G7" s="437"/>
      <c r="H7" s="437"/>
      <c r="I7" s="437"/>
      <c r="J7" s="437"/>
      <c r="K7" s="437"/>
      <c r="L7" s="437"/>
      <c r="M7" s="438"/>
    </row>
    <row r="8" spans="1:13" s="214" customFormat="1" ht="17.25" customHeight="1">
      <c r="A8" s="202"/>
      <c r="B8" s="409" t="s">
        <v>207</v>
      </c>
      <c r="D8" s="439" t="s">
        <v>208</v>
      </c>
      <c r="F8" s="440" t="s">
        <v>209</v>
      </c>
      <c r="G8" s="440"/>
      <c r="H8" s="440"/>
      <c r="I8" s="440"/>
      <c r="J8" s="440"/>
      <c r="K8" s="440"/>
      <c r="L8" s="441" t="s">
        <v>210</v>
      </c>
      <c r="M8" s="442"/>
    </row>
    <row r="9" spans="1:13" s="214" customFormat="1" ht="17.25" customHeight="1">
      <c r="A9" s="202"/>
      <c r="B9" s="409" t="s">
        <v>211</v>
      </c>
      <c r="D9" s="443"/>
      <c r="E9" s="433"/>
      <c r="F9" s="433"/>
      <c r="G9" s="433"/>
      <c r="H9" s="433"/>
      <c r="I9" s="433"/>
      <c r="J9" s="433"/>
      <c r="K9" s="433"/>
      <c r="L9" s="444"/>
      <c r="M9" s="445"/>
    </row>
    <row r="10" spans="1:11" s="214" customFormat="1" ht="15">
      <c r="A10" s="202"/>
      <c r="I10" s="404"/>
      <c r="J10" s="272"/>
      <c r="K10" s="286"/>
    </row>
    <row r="11" spans="1:10" s="214" customFormat="1" ht="14.25">
      <c r="A11" s="202"/>
      <c r="I11" s="272"/>
      <c r="J11" s="286"/>
    </row>
    <row r="12" spans="1:13" s="214" customFormat="1" ht="14.25">
      <c r="A12" s="446"/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8"/>
    </row>
    <row r="13" spans="1:13" s="214" customFormat="1" ht="18">
      <c r="A13" s="447"/>
      <c r="B13" s="405"/>
      <c r="C13" s="448"/>
      <c r="D13" s="448"/>
      <c r="E13" s="448"/>
      <c r="F13" s="448"/>
      <c r="G13" s="448"/>
      <c r="H13" s="448"/>
      <c r="I13" s="448"/>
      <c r="J13" s="448"/>
      <c r="K13" s="449" t="s">
        <v>212</v>
      </c>
      <c r="L13" s="448"/>
      <c r="M13" s="450"/>
    </row>
    <row r="14" spans="1:13" s="214" customFormat="1" ht="19.5" customHeight="1">
      <c r="A14" s="447"/>
      <c r="B14" s="448"/>
      <c r="C14" s="448"/>
      <c r="D14" s="448"/>
      <c r="E14" s="448"/>
      <c r="F14" s="448"/>
      <c r="G14" s="448"/>
      <c r="H14" s="448"/>
      <c r="I14" s="448"/>
      <c r="J14" s="448"/>
      <c r="K14" s="451" t="s">
        <v>19</v>
      </c>
      <c r="L14" s="448"/>
      <c r="M14" s="442"/>
    </row>
    <row r="15" spans="1:13" s="214" customFormat="1" ht="14.25">
      <c r="A15" s="452"/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53"/>
    </row>
    <row r="16" spans="1:10" s="214" customFormat="1" ht="14.25">
      <c r="A16" s="202"/>
      <c r="I16" s="272"/>
      <c r="J16" s="286"/>
    </row>
    <row r="17" spans="1:12" s="214" customFormat="1" ht="14.25">
      <c r="A17" s="202"/>
      <c r="F17" s="454" t="s">
        <v>108</v>
      </c>
      <c r="I17" s="454" t="s">
        <v>109</v>
      </c>
      <c r="J17" s="286"/>
      <c r="L17" s="454" t="s">
        <v>213</v>
      </c>
    </row>
    <row r="18" spans="1:10" s="214" customFormat="1" ht="14.25">
      <c r="A18" s="202"/>
      <c r="I18" s="272"/>
      <c r="J18" s="286"/>
    </row>
    <row r="19" spans="1:10" s="214" customFormat="1" ht="24.75" customHeight="1">
      <c r="A19" s="406">
        <v>1</v>
      </c>
      <c r="B19" s="490" t="s">
        <v>214</v>
      </c>
      <c r="C19" s="491"/>
      <c r="D19" s="491"/>
      <c r="F19" s="492">
        <f>F21+F23</f>
        <v>0</v>
      </c>
      <c r="G19" s="493"/>
      <c r="H19" s="455"/>
      <c r="I19" s="456"/>
      <c r="J19" s="457"/>
    </row>
    <row r="20" spans="1:10" s="214" customFormat="1" ht="18">
      <c r="A20" s="406"/>
      <c r="B20" s="407"/>
      <c r="F20" s="455"/>
      <c r="G20" s="455"/>
      <c r="H20" s="455"/>
      <c r="I20" s="456"/>
      <c r="J20" s="457"/>
    </row>
    <row r="21" spans="1:10" s="214" customFormat="1" ht="24.75" customHeight="1">
      <c r="A21" s="406">
        <v>2</v>
      </c>
      <c r="B21" s="494" t="s">
        <v>215</v>
      </c>
      <c r="C21" s="491"/>
      <c r="D21" s="491"/>
      <c r="E21" s="410"/>
      <c r="F21" s="492">
        <f>F23+F25+F27</f>
        <v>0</v>
      </c>
      <c r="G21" s="493"/>
      <c r="H21" s="455"/>
      <c r="I21" s="456"/>
      <c r="J21" s="457"/>
    </row>
    <row r="22" spans="1:10" s="214" customFormat="1" ht="18">
      <c r="A22" s="406"/>
      <c r="B22" s="407"/>
      <c r="E22" s="409"/>
      <c r="F22" s="455"/>
      <c r="G22" s="455"/>
      <c r="H22" s="455"/>
      <c r="I22" s="456"/>
      <c r="J22" s="457"/>
    </row>
    <row r="23" spans="1:10" s="214" customFormat="1" ht="25.5" customHeight="1">
      <c r="A23" s="406">
        <v>3</v>
      </c>
      <c r="B23" s="490" t="s">
        <v>216</v>
      </c>
      <c r="C23" s="495"/>
      <c r="D23" s="495"/>
      <c r="E23" s="410"/>
      <c r="F23" s="492">
        <f>Konteringsliste!BS138</f>
        <v>0</v>
      </c>
      <c r="G23" s="493"/>
      <c r="H23" s="455"/>
      <c r="I23" s="456"/>
      <c r="J23" s="457"/>
    </row>
    <row r="24" spans="1:10" s="214" customFormat="1" ht="18">
      <c r="A24" s="406"/>
      <c r="B24" s="407"/>
      <c r="E24" s="409"/>
      <c r="F24" s="455"/>
      <c r="G24" s="455"/>
      <c r="H24" s="455"/>
      <c r="I24" s="456"/>
      <c r="J24" s="457"/>
    </row>
    <row r="25" spans="1:10" s="214" customFormat="1" ht="25.5" customHeight="1">
      <c r="A25" s="406">
        <v>4</v>
      </c>
      <c r="B25" s="490" t="str">
        <f>"Omsetning og uttak i post 2 minus med høy sats og beregnet avgift "&amp;mva1*100&amp;" %"</f>
        <v>Omsetning og uttak i post 2 minus med høy sats og beregnet avgift 0 %</v>
      </c>
      <c r="C25" s="491"/>
      <c r="D25" s="491"/>
      <c r="E25" s="410"/>
      <c r="F25" s="492">
        <f>IF(Konteringsliste!J138=0,0,-Konteringsliste!J138/(mva)+Konteringsliste!BT138)</f>
        <v>0</v>
      </c>
      <c r="G25" s="493"/>
      <c r="H25" s="458" t="s">
        <v>110</v>
      </c>
      <c r="I25" s="492">
        <f>ROUND(F25*mva,0)</f>
        <v>0</v>
      </c>
      <c r="J25" s="493"/>
    </row>
    <row r="26" spans="1:10" s="214" customFormat="1" ht="18">
      <c r="A26" s="406"/>
      <c r="B26" s="407"/>
      <c r="F26" s="455"/>
      <c r="G26" s="455"/>
      <c r="H26" s="459"/>
      <c r="I26" s="456"/>
      <c r="J26" s="457"/>
    </row>
    <row r="27" spans="1:10" s="214" customFormat="1" ht="25.5" customHeight="1">
      <c r="A27" s="406">
        <v>5</v>
      </c>
      <c r="B27" s="490" t="str">
        <f>"Omsetning og uttak i post 2 minus med middels sats og beregnet avgift "&amp;mva2*100&amp;" %"</f>
        <v>Omsetning og uttak i post 2 minus med middels sats og beregnet avgift 11 %</v>
      </c>
      <c r="C27" s="496"/>
      <c r="D27" s="496"/>
      <c r="F27" s="492">
        <f>IF(umvam=0,0,umvam/mva2)</f>
        <v>0</v>
      </c>
      <c r="G27" s="493"/>
      <c r="H27" s="458" t="s">
        <v>110</v>
      </c>
      <c r="I27" s="492">
        <f>ROUND(F27*mva2,0)</f>
        <v>0</v>
      </c>
      <c r="J27" s="493"/>
    </row>
    <row r="28" spans="1:10" s="214" customFormat="1" ht="18">
      <c r="A28" s="406"/>
      <c r="B28" s="407"/>
      <c r="F28" s="455"/>
      <c r="G28" s="455"/>
      <c r="H28" s="459"/>
      <c r="I28" s="456"/>
      <c r="J28" s="457"/>
    </row>
    <row r="29" spans="1:10" s="214" customFormat="1" ht="25.5" customHeight="1">
      <c r="A29" s="406">
        <v>6</v>
      </c>
      <c r="B29" s="490" t="str">
        <f>"Omsetning og uttak i post 2 minus med lav sats og beregnet avgift "&amp;mva3*100&amp;" %"</f>
        <v>Omsetning og uttak i post 2 minus med lav sats og beregnet avgift 7 %</v>
      </c>
      <c r="C29" s="496"/>
      <c r="D29" s="496"/>
      <c r="F29" s="492">
        <f>IF(umval=0,0,umval/mva3)</f>
        <v>0</v>
      </c>
      <c r="G29" s="493"/>
      <c r="H29" s="458" t="s">
        <v>110</v>
      </c>
      <c r="I29" s="492">
        <f>ROUND(F29*mva3,0)</f>
        <v>0</v>
      </c>
      <c r="J29" s="493"/>
    </row>
    <row r="30" spans="1:10" s="214" customFormat="1" ht="18">
      <c r="A30" s="406"/>
      <c r="B30" s="407"/>
      <c r="F30" s="455"/>
      <c r="G30" s="455"/>
      <c r="H30" s="459"/>
      <c r="I30" s="456"/>
      <c r="J30" s="457"/>
    </row>
    <row r="31" spans="1:10" s="214" customFormat="1" ht="25.5" customHeight="1">
      <c r="A31" s="406">
        <v>7</v>
      </c>
      <c r="B31" s="490" t="str">
        <f>"Beregningsgrunnlag for tjenester kjøpt i utlandet, og beregnet avgift "&amp;mva1*100&amp;" %"</f>
        <v>Beregningsgrunnlag for tjenester kjøpt i utlandet, og beregnet avgift 0 %</v>
      </c>
      <c r="C31" s="491"/>
      <c r="D31" s="491"/>
      <c r="F31" s="492"/>
      <c r="G31" s="493"/>
      <c r="H31" s="458" t="s">
        <v>110</v>
      </c>
      <c r="I31" s="492"/>
      <c r="J31" s="493"/>
    </row>
    <row r="32" spans="1:10" s="214" customFormat="1" ht="18">
      <c r="A32" s="406"/>
      <c r="B32" s="407"/>
      <c r="F32" s="455"/>
      <c r="G32" s="455"/>
      <c r="H32" s="459"/>
      <c r="I32" s="456"/>
      <c r="J32" s="457"/>
    </row>
    <row r="33" spans="1:10" s="214" customFormat="1" ht="25.5" customHeight="1">
      <c r="A33" s="406">
        <v>8</v>
      </c>
      <c r="B33" s="494" t="s">
        <v>217</v>
      </c>
      <c r="C33" s="491"/>
      <c r="D33" s="491"/>
      <c r="F33" s="455"/>
      <c r="G33" s="455"/>
      <c r="H33" s="460" t="s">
        <v>111</v>
      </c>
      <c r="I33" s="492">
        <f>ROUND(Konteringsliste!K138,0)</f>
        <v>0</v>
      </c>
      <c r="J33" s="493"/>
    </row>
    <row r="34" spans="1:10" s="214" customFormat="1" ht="18">
      <c r="A34" s="406"/>
      <c r="B34" s="407"/>
      <c r="F34" s="455"/>
      <c r="G34" s="455"/>
      <c r="H34" s="455"/>
      <c r="I34" s="456"/>
      <c r="J34" s="457"/>
    </row>
    <row r="35" spans="1:10" s="214" customFormat="1" ht="24.75" customHeight="1">
      <c r="A35" s="406">
        <v>9</v>
      </c>
      <c r="B35" s="494" t="s">
        <v>224</v>
      </c>
      <c r="C35" s="491"/>
      <c r="D35" s="491"/>
      <c r="F35" s="455"/>
      <c r="G35" s="455"/>
      <c r="H35" s="460" t="s">
        <v>111</v>
      </c>
      <c r="I35" s="492">
        <f>ROUND(imvam,0)</f>
        <v>0</v>
      </c>
      <c r="J35" s="493"/>
    </row>
    <row r="36" spans="1:10" s="214" customFormat="1" ht="18">
      <c r="A36" s="406"/>
      <c r="B36" s="407"/>
      <c r="F36" s="455"/>
      <c r="G36" s="455"/>
      <c r="H36" s="455"/>
      <c r="I36" s="456"/>
      <c r="J36" s="457"/>
    </row>
    <row r="37" spans="1:10" s="214" customFormat="1" ht="25.5" customHeight="1">
      <c r="A37" s="406">
        <v>10</v>
      </c>
      <c r="B37" s="494" t="s">
        <v>225</v>
      </c>
      <c r="C37" s="491"/>
      <c r="D37" s="491"/>
      <c r="F37" s="455"/>
      <c r="G37" s="455"/>
      <c r="H37" s="460" t="s">
        <v>111</v>
      </c>
      <c r="I37" s="492">
        <f>IF(imval="",0,ROUND(imval,0))</f>
        <v>0</v>
      </c>
      <c r="J37" s="493"/>
    </row>
    <row r="38" spans="1:10" s="214" customFormat="1" ht="13.5" customHeight="1">
      <c r="A38" s="406"/>
      <c r="B38" s="407"/>
      <c r="C38" s="408"/>
      <c r="D38" s="408"/>
      <c r="I38" s="272"/>
      <c r="J38" s="286"/>
    </row>
    <row r="39" spans="1:10" s="214" customFormat="1" ht="7.5" customHeight="1">
      <c r="A39" s="406"/>
      <c r="B39" s="407"/>
      <c r="H39" s="461"/>
      <c r="I39" s="499">
        <f>IF((I25+I27+I29+I31)&lt;=(I33+I35+I37),-(I25+I27+I29+I31-I33-I35-I37),)</f>
        <v>0</v>
      </c>
      <c r="J39" s="500"/>
    </row>
    <row r="40" spans="1:10" s="214" customFormat="1" ht="15.75" customHeight="1">
      <c r="A40" s="406">
        <v>11</v>
      </c>
      <c r="B40" s="462" t="s">
        <v>218</v>
      </c>
      <c r="C40" s="463"/>
      <c r="E40" s="463"/>
      <c r="F40" s="448"/>
      <c r="I40" s="501"/>
      <c r="J40" s="502"/>
    </row>
    <row r="41" spans="1:10" s="214" customFormat="1" ht="12.75" customHeight="1">
      <c r="A41" s="202"/>
      <c r="B41" s="448"/>
      <c r="C41" s="448"/>
      <c r="D41" s="448"/>
      <c r="E41" s="448"/>
      <c r="F41" s="448"/>
      <c r="I41" s="456"/>
      <c r="J41" s="457"/>
    </row>
    <row r="42" spans="1:10" s="214" customFormat="1" ht="17.25" customHeight="1">
      <c r="A42" s="202"/>
      <c r="B42" s="464" t="s">
        <v>112</v>
      </c>
      <c r="E42" s="463"/>
      <c r="F42" s="465"/>
      <c r="I42" s="499">
        <f>IF((I25+I27+I29+I31)&gt;(I33+I35+I37),I25+I27+I29+I31-I33-I35-I37,0)</f>
        <v>0</v>
      </c>
      <c r="J42" s="500"/>
    </row>
    <row r="43" spans="1:10" s="214" customFormat="1" ht="6" customHeight="1">
      <c r="A43" s="202"/>
      <c r="E43" s="448"/>
      <c r="F43" s="448"/>
      <c r="I43" s="501"/>
      <c r="J43" s="502"/>
    </row>
    <row r="44" spans="1:10" s="214" customFormat="1" ht="20.25" customHeight="1">
      <c r="A44" s="202"/>
      <c r="I44" s="272"/>
      <c r="J44" s="286"/>
    </row>
    <row r="45" spans="2:10" s="209" customFormat="1" ht="12.75">
      <c r="B45" s="497" t="s">
        <v>219</v>
      </c>
      <c r="C45" s="498"/>
      <c r="D45" s="498"/>
      <c r="I45" s="210"/>
      <c r="J45" s="287"/>
    </row>
    <row r="46" spans="2:10" s="209" customFormat="1" ht="12.75">
      <c r="B46" s="498"/>
      <c r="C46" s="498"/>
      <c r="D46" s="498"/>
      <c r="E46" s="281"/>
      <c r="F46" s="281"/>
      <c r="G46" s="281"/>
      <c r="I46" s="210"/>
      <c r="J46" s="287"/>
    </row>
    <row r="47" spans="2:10" s="209" customFormat="1" ht="15">
      <c r="B47" s="211"/>
      <c r="C47" s="211"/>
      <c r="E47" s="281"/>
      <c r="F47" s="281"/>
      <c r="G47" s="281"/>
      <c r="H47" s="411"/>
      <c r="I47" s="412"/>
      <c r="J47" s="413"/>
    </row>
    <row r="48" spans="2:10" s="207" customFormat="1" ht="47.25" customHeight="1">
      <c r="B48" s="414"/>
      <c r="C48" s="414"/>
      <c r="E48" s="282"/>
      <c r="F48" s="282"/>
      <c r="G48" s="283"/>
      <c r="H48" s="415"/>
      <c r="I48" s="292"/>
      <c r="J48" s="416"/>
    </row>
    <row r="49" spans="5:11" s="207" customFormat="1" ht="44.25" customHeight="1">
      <c r="E49" s="282"/>
      <c r="F49" s="282"/>
      <c r="G49" s="283"/>
      <c r="H49" s="415"/>
      <c r="I49" s="292"/>
      <c r="J49" s="417"/>
      <c r="K49" s="418"/>
    </row>
    <row r="50" spans="5:10" s="207" customFormat="1" ht="44.25" customHeight="1">
      <c r="E50" s="282"/>
      <c r="F50" s="282"/>
      <c r="G50" s="283"/>
      <c r="H50" s="415"/>
      <c r="I50" s="292"/>
      <c r="J50" s="417"/>
    </row>
    <row r="51" spans="5:10" s="207" customFormat="1" ht="44.25" customHeight="1">
      <c r="E51" s="282"/>
      <c r="F51" s="282"/>
      <c r="G51" s="283"/>
      <c r="H51" s="415"/>
      <c r="I51" s="292"/>
      <c r="J51" s="416"/>
    </row>
    <row r="52" spans="5:10" s="207" customFormat="1" ht="30" customHeight="1">
      <c r="E52" s="282"/>
      <c r="F52" s="282"/>
      <c r="G52" s="419"/>
      <c r="H52" s="415"/>
      <c r="I52" s="292"/>
      <c r="J52" s="420"/>
    </row>
    <row r="53" spans="5:10" s="207" customFormat="1" ht="25.5" customHeight="1">
      <c r="E53" s="283"/>
      <c r="F53" s="283"/>
      <c r="G53" s="421"/>
      <c r="H53" s="415"/>
      <c r="I53" s="292"/>
      <c r="J53" s="420"/>
    </row>
    <row r="54" spans="5:10" s="207" customFormat="1" ht="23.25" customHeight="1">
      <c r="E54" s="282"/>
      <c r="F54" s="282"/>
      <c r="G54" s="422"/>
      <c r="H54" s="415"/>
      <c r="I54" s="292"/>
      <c r="J54" s="420"/>
    </row>
    <row r="55" spans="5:10" s="207" customFormat="1" ht="25.5" customHeight="1">
      <c r="E55" s="415"/>
      <c r="F55" s="423"/>
      <c r="G55" s="422"/>
      <c r="H55" s="415"/>
      <c r="I55" s="292"/>
      <c r="J55" s="416"/>
    </row>
    <row r="56" spans="5:10" s="207" customFormat="1" ht="44.25" customHeight="1">
      <c r="E56" s="282"/>
      <c r="F56" s="282"/>
      <c r="G56" s="283"/>
      <c r="H56" s="415"/>
      <c r="I56" s="292"/>
      <c r="J56" s="420"/>
    </row>
    <row r="57" spans="2:10" s="207" customFormat="1" ht="44.25" customHeight="1">
      <c r="B57" s="212"/>
      <c r="E57" s="282"/>
      <c r="F57" s="282"/>
      <c r="G57" s="283"/>
      <c r="H57" s="415"/>
      <c r="I57" s="292"/>
      <c r="J57" s="417"/>
    </row>
    <row r="58" spans="5:10" s="207" customFormat="1" ht="44.25" customHeight="1">
      <c r="E58" s="282"/>
      <c r="F58" s="282"/>
      <c r="G58" s="283"/>
      <c r="H58" s="415"/>
      <c r="I58" s="292"/>
      <c r="J58" s="424"/>
    </row>
    <row r="59" spans="5:10" s="207" customFormat="1" ht="44.25" customHeight="1">
      <c r="E59" s="282"/>
      <c r="F59" s="425"/>
      <c r="G59" s="426"/>
      <c r="H59" s="415"/>
      <c r="I59" s="427"/>
      <c r="J59" s="424"/>
    </row>
    <row r="60" spans="5:11" s="207" customFormat="1" ht="28.5" customHeight="1">
      <c r="E60" s="208"/>
      <c r="H60" s="208"/>
      <c r="I60" s="428"/>
      <c r="J60" s="429"/>
      <c r="K60" s="430"/>
    </row>
    <row r="61" spans="1:10" s="207" customFormat="1" ht="24" customHeight="1">
      <c r="A61" s="293"/>
      <c r="B61" s="293"/>
      <c r="C61" s="293"/>
      <c r="I61" s="292"/>
      <c r="J61" s="420"/>
    </row>
    <row r="62" spans="5:10" s="207" customFormat="1" ht="22.5" customHeight="1">
      <c r="E62" s="208"/>
      <c r="F62" s="208"/>
      <c r="G62" s="291"/>
      <c r="I62" s="292"/>
      <c r="J62" s="420"/>
    </row>
    <row r="63" spans="9:10" s="207" customFormat="1" ht="20.25">
      <c r="I63" s="292"/>
      <c r="J63" s="420"/>
    </row>
    <row r="64" spans="9:10" s="207" customFormat="1" ht="12.75">
      <c r="I64" s="418"/>
      <c r="J64" s="208"/>
    </row>
    <row r="65" spans="9:10" s="207" customFormat="1" ht="21.75" customHeight="1">
      <c r="I65" s="418"/>
      <c r="J65" s="208"/>
    </row>
    <row r="66" spans="7:10" s="204" customFormat="1" ht="12.75">
      <c r="G66" s="206"/>
      <c r="I66" s="284"/>
      <c r="J66" s="289"/>
    </row>
    <row r="67" spans="9:10" s="204" customFormat="1" ht="12.75">
      <c r="I67" s="284"/>
      <c r="J67" s="289"/>
    </row>
    <row r="68" spans="9:10" s="204" customFormat="1" ht="12.75">
      <c r="I68" s="284"/>
      <c r="J68" s="289"/>
    </row>
    <row r="69" spans="9:10" s="204" customFormat="1" ht="12.75">
      <c r="I69" s="205"/>
      <c r="J69" s="288"/>
    </row>
    <row r="70" spans="9:10" s="204" customFormat="1" ht="12.75">
      <c r="I70" s="205"/>
      <c r="J70" s="288"/>
    </row>
    <row r="71" spans="9:10" s="204" customFormat="1" ht="12.75">
      <c r="I71" s="284"/>
      <c r="J71" s="289"/>
    </row>
    <row r="72" spans="9:10" s="204" customFormat="1" ht="12.75">
      <c r="I72" s="205"/>
      <c r="J72" s="288"/>
    </row>
  </sheetData>
  <sheetProtection sheet="1" objects="1" scenarios="1"/>
  <mergeCells count="27">
    <mergeCell ref="B45:D46"/>
    <mergeCell ref="B37:D37"/>
    <mergeCell ref="I37:J37"/>
    <mergeCell ref="I39:J40"/>
    <mergeCell ref="I42:J43"/>
    <mergeCell ref="B33:D33"/>
    <mergeCell ref="I33:J33"/>
    <mergeCell ref="B35:D35"/>
    <mergeCell ref="I35:J35"/>
    <mergeCell ref="B29:D29"/>
    <mergeCell ref="F29:G29"/>
    <mergeCell ref="I29:J29"/>
    <mergeCell ref="B31:D31"/>
    <mergeCell ref="F31:G31"/>
    <mergeCell ref="I31:J31"/>
    <mergeCell ref="I25:J25"/>
    <mergeCell ref="B27:D27"/>
    <mergeCell ref="F27:G27"/>
    <mergeCell ref="I27:J27"/>
    <mergeCell ref="B23:D23"/>
    <mergeCell ref="F23:G23"/>
    <mergeCell ref="B25:D25"/>
    <mergeCell ref="F25:G25"/>
    <mergeCell ref="B19:D19"/>
    <mergeCell ref="F19:G19"/>
    <mergeCell ref="B21:D21"/>
    <mergeCell ref="F21:G21"/>
  </mergeCells>
  <printOptions/>
  <pageMargins left="0.44" right="0.32" top="1" bottom="1" header="0.5" footer="0.5"/>
  <pageSetup fitToHeight="1" fitToWidth="1" orientation="portrait" paperSize="9" scale="84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7"/>
  <dimension ref="A1:AB208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9.140625" style="70" customWidth="1"/>
    <col min="2" max="2" width="20.140625" style="70" customWidth="1"/>
    <col min="3" max="3" width="8.8515625" style="70" customWidth="1"/>
    <col min="4" max="4" width="12.57421875" style="70" customWidth="1"/>
    <col min="5" max="5" width="30.00390625" style="70" hidden="1" customWidth="1"/>
    <col min="6" max="19" width="9.140625" style="70" customWidth="1"/>
    <col min="20" max="20" width="6.421875" style="70" customWidth="1"/>
    <col min="21" max="21" width="27.28125" style="70" customWidth="1"/>
    <col min="22" max="22" width="4.57421875" style="70" customWidth="1"/>
    <col min="23" max="23" width="6.421875" style="70" customWidth="1"/>
    <col min="24" max="24" width="27.28125" style="70" customWidth="1"/>
    <col min="25" max="25" width="4.57421875" style="70" customWidth="1"/>
    <col min="26" max="26" width="6.421875" style="70" customWidth="1"/>
    <col min="27" max="27" width="27.28125" style="70" customWidth="1"/>
    <col min="28" max="28" width="4.57421875" style="70" customWidth="1"/>
    <col min="29" max="16384" width="9.140625" style="70" customWidth="1"/>
  </cols>
  <sheetData>
    <row r="1" spans="1:19" ht="33.75" customHeigh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</row>
    <row r="2" spans="1:3" ht="15" customHeight="1">
      <c r="A2" s="193"/>
      <c r="B2" s="193"/>
      <c r="C2" s="193"/>
    </row>
    <row r="3" spans="1:28" s="63" customFormat="1" ht="12.75">
      <c r="A3" s="60" t="s">
        <v>113</v>
      </c>
      <c r="B3" s="61"/>
      <c r="C3" s="62"/>
      <c r="E3" s="302" t="s">
        <v>94</v>
      </c>
      <c r="F3" s="63" t="s">
        <v>114</v>
      </c>
      <c r="O3" s="389">
        <v>2</v>
      </c>
      <c r="P3" s="63">
        <f>IF(O3=1,30000,15000)</f>
        <v>15000</v>
      </c>
      <c r="T3" s="375"/>
      <c r="U3" s="375"/>
      <c r="V3" s="375"/>
      <c r="W3" s="375"/>
      <c r="X3" s="375"/>
      <c r="Y3" s="375"/>
      <c r="Z3" s="375"/>
      <c r="AA3" s="375"/>
      <c r="AB3" s="375"/>
    </row>
    <row r="4" spans="1:28" s="68" customFormat="1" ht="14.25">
      <c r="A4" s="64" t="s">
        <v>115</v>
      </c>
      <c r="B4" s="65" t="s">
        <v>18</v>
      </c>
      <c r="C4" s="66" t="s">
        <v>116</v>
      </c>
      <c r="D4" s="63"/>
      <c r="E4" s="301" t="s">
        <v>117</v>
      </c>
      <c r="F4" s="68" t="s">
        <v>118</v>
      </c>
      <c r="O4" s="390">
        <v>2</v>
      </c>
      <c r="P4" s="63">
        <f>IF(O4=1,10000,24000)</f>
        <v>24000</v>
      </c>
      <c r="T4" s="376" t="str">
        <f>A4</f>
        <v>Kto.nr</v>
      </c>
      <c r="U4" s="377" t="str">
        <f>B4</f>
        <v>Tekst</v>
      </c>
      <c r="V4" s="378" t="str">
        <f>C4</f>
        <v>Mva</v>
      </c>
      <c r="W4" s="377" t="str">
        <f>A4</f>
        <v>Kto.nr</v>
      </c>
      <c r="X4" s="377" t="str">
        <f>B4</f>
        <v>Tekst</v>
      </c>
      <c r="Y4" s="378" t="str">
        <f>C4</f>
        <v>Mva</v>
      </c>
      <c r="Z4" s="377" t="str">
        <f>A4</f>
        <v>Kto.nr</v>
      </c>
      <c r="AA4" s="377" t="str">
        <f>B4</f>
        <v>Tekst</v>
      </c>
      <c r="AB4" s="378" t="str">
        <f>C4</f>
        <v>Mva</v>
      </c>
    </row>
    <row r="5" spans="1:28" ht="15">
      <c r="A5" s="294">
        <v>1100</v>
      </c>
      <c r="B5" s="295" t="s">
        <v>119</v>
      </c>
      <c r="C5" s="296"/>
      <c r="D5" s="69">
        <f>IF(C5=2,"",IF(C5=1,"",IF(C5=3,"",IF(C5="","","Mva-koden må skrives slik: 1, 2 eller 3. (inng. mva, inng. mva/invest. avgift, utg.mva)"))))</f>
      </c>
      <c r="E5" s="70" t="str">
        <f>A5&amp;" "&amp;B5</f>
        <v>1100 Bygning</v>
      </c>
      <c r="F5" s="391" t="s">
        <v>120</v>
      </c>
      <c r="O5" s="63">
        <v>30000</v>
      </c>
      <c r="P5" s="70">
        <v>10000</v>
      </c>
      <c r="T5" s="379">
        <f aca="true" t="shared" si="0" ref="T5:T64">A5</f>
        <v>1100</v>
      </c>
      <c r="U5" s="380" t="str">
        <f aca="true" t="shared" si="1" ref="U5:U64">B5</f>
        <v>Bygning</v>
      </c>
      <c r="V5" s="381">
        <f aca="true" t="shared" si="2" ref="V5:V64">C5</f>
        <v>0</v>
      </c>
      <c r="W5" s="382">
        <f>A66</f>
        <v>6500</v>
      </c>
      <c r="X5" s="382" t="str">
        <f>B66</f>
        <v>Verktøy mv ikke akt.</v>
      </c>
      <c r="Y5" s="383">
        <f>C66</f>
        <v>1</v>
      </c>
      <c r="Z5" s="382">
        <f>A127</f>
        <v>0</v>
      </c>
      <c r="AA5" s="382">
        <f>B127</f>
        <v>0</v>
      </c>
      <c r="AB5" s="383">
        <f>C127</f>
        <v>0</v>
      </c>
    </row>
    <row r="6" spans="1:28" ht="15">
      <c r="A6" s="294">
        <v>1200</v>
      </c>
      <c r="B6" s="295" t="s">
        <v>31</v>
      </c>
      <c r="C6" s="296">
        <v>1</v>
      </c>
      <c r="D6" s="69">
        <f aca="true" t="shared" si="3" ref="D6:D69">IF(C6=2,"",IF(C6=1,"",IF(C6=3,"",IF(C6="","","Mva-koden må skrives slik: 1, 2 eller 3. (inng. mva, inng. mva/invest. avgift, utg.mva)"))))</f>
      </c>
      <c r="E6" s="70" t="str">
        <f aca="true" t="shared" si="4" ref="E6:E69">A6&amp;" "&amp;B6</f>
        <v>1200 Maskiner og anlegg</v>
      </c>
      <c r="F6" s="391" t="s">
        <v>121</v>
      </c>
      <c r="O6" s="68">
        <v>15000</v>
      </c>
      <c r="P6" s="70">
        <v>24000</v>
      </c>
      <c r="T6" s="379">
        <f t="shared" si="0"/>
        <v>1200</v>
      </c>
      <c r="U6" s="380" t="str">
        <f t="shared" si="1"/>
        <v>Maskiner og anlegg</v>
      </c>
      <c r="V6" s="381">
        <f t="shared" si="2"/>
        <v>1</v>
      </c>
      <c r="W6" s="382">
        <f aca="true" t="shared" si="5" ref="W6:W65">A67</f>
        <v>6620</v>
      </c>
      <c r="X6" s="382" t="str">
        <f aca="true" t="shared" si="6" ref="X6:X65">B67</f>
        <v>Rep. og vedlikeh. utstyr</v>
      </c>
      <c r="Y6" s="383">
        <f aca="true" t="shared" si="7" ref="Y6:Y65">C67</f>
        <v>1</v>
      </c>
      <c r="Z6" s="382">
        <f aca="true" t="shared" si="8" ref="Z6:Z65">A128</f>
        <v>0</v>
      </c>
      <c r="AA6" s="382">
        <f aca="true" t="shared" si="9" ref="AA6:AA65">B128</f>
        <v>0</v>
      </c>
      <c r="AB6" s="383">
        <f aca="true" t="shared" si="10" ref="AB6:AB65">C128</f>
        <v>0</v>
      </c>
    </row>
    <row r="7" spans="1:28" ht="15">
      <c r="A7" s="294">
        <v>1230</v>
      </c>
      <c r="B7" s="295" t="s">
        <v>122</v>
      </c>
      <c r="C7" s="297">
        <v>1</v>
      </c>
      <c r="D7" s="69">
        <f t="shared" si="3"/>
      </c>
      <c r="E7" s="70" t="str">
        <f t="shared" si="4"/>
        <v>1230 Biler                    </v>
      </c>
      <c r="F7" s="391" t="s">
        <v>123</v>
      </c>
      <c r="T7" s="379">
        <f t="shared" si="0"/>
        <v>1230</v>
      </c>
      <c r="U7" s="380" t="str">
        <f t="shared" si="1"/>
        <v>Biler                    </v>
      </c>
      <c r="V7" s="381">
        <f t="shared" si="2"/>
        <v>1</v>
      </c>
      <c r="W7" s="382">
        <f t="shared" si="5"/>
        <v>6700</v>
      </c>
      <c r="X7" s="382" t="str">
        <f t="shared" si="6"/>
        <v>Revisjon-, regnsk. hon.</v>
      </c>
      <c r="Y7" s="383">
        <f t="shared" si="7"/>
        <v>1</v>
      </c>
      <c r="Z7" s="382">
        <f t="shared" si="8"/>
        <v>0</v>
      </c>
      <c r="AA7" s="382">
        <f t="shared" si="9"/>
        <v>0</v>
      </c>
      <c r="AB7" s="383">
        <f t="shared" si="10"/>
        <v>0</v>
      </c>
    </row>
    <row r="8" spans="1:28" ht="15">
      <c r="A8" s="294">
        <v>1250</v>
      </c>
      <c r="B8" s="295" t="s">
        <v>124</v>
      </c>
      <c r="C8" s="296">
        <v>1</v>
      </c>
      <c r="D8" s="69">
        <f t="shared" si="3"/>
      </c>
      <c r="E8" s="70" t="str">
        <f t="shared" si="4"/>
        <v>1250 Inventar</v>
      </c>
      <c r="F8" s="391" t="s">
        <v>125</v>
      </c>
      <c r="T8" s="379">
        <f t="shared" si="0"/>
        <v>1250</v>
      </c>
      <c r="U8" s="380" t="str">
        <f t="shared" si="1"/>
        <v>Inventar</v>
      </c>
      <c r="V8" s="381">
        <f t="shared" si="2"/>
        <v>1</v>
      </c>
      <c r="W8" s="382">
        <f t="shared" si="5"/>
        <v>6800</v>
      </c>
      <c r="X8" s="382" t="str">
        <f t="shared" si="6"/>
        <v>Kontorrekvisita</v>
      </c>
      <c r="Y8" s="383">
        <f t="shared" si="7"/>
        <v>1</v>
      </c>
      <c r="Z8" s="382">
        <f t="shared" si="8"/>
        <v>0</v>
      </c>
      <c r="AA8" s="382">
        <f t="shared" si="9"/>
        <v>0</v>
      </c>
      <c r="AB8" s="383">
        <f t="shared" si="10"/>
        <v>0</v>
      </c>
    </row>
    <row r="9" spans="1:28" ht="15">
      <c r="A9" s="294">
        <v>1270</v>
      </c>
      <c r="B9" s="295" t="s">
        <v>126</v>
      </c>
      <c r="C9" s="296">
        <v>1</v>
      </c>
      <c r="D9" s="69">
        <f t="shared" si="3"/>
      </c>
      <c r="E9" s="70" t="str">
        <f t="shared" si="4"/>
        <v>1270 Verktøy o.l</v>
      </c>
      <c r="T9" s="379">
        <f t="shared" si="0"/>
        <v>1270</v>
      </c>
      <c r="U9" s="380" t="str">
        <f t="shared" si="1"/>
        <v>Verktøy o.l</v>
      </c>
      <c r="V9" s="381">
        <f t="shared" si="2"/>
        <v>1</v>
      </c>
      <c r="W9" s="382">
        <f t="shared" si="5"/>
        <v>6900</v>
      </c>
      <c r="X9" s="382" t="str">
        <f t="shared" si="6"/>
        <v>Telefon</v>
      </c>
      <c r="Y9" s="383">
        <f t="shared" si="7"/>
        <v>1</v>
      </c>
      <c r="Z9" s="382">
        <f t="shared" si="8"/>
        <v>0</v>
      </c>
      <c r="AA9" s="382">
        <f t="shared" si="9"/>
        <v>0</v>
      </c>
      <c r="AB9" s="383">
        <f t="shared" si="10"/>
        <v>0</v>
      </c>
    </row>
    <row r="10" spans="1:28" ht="15">
      <c r="A10" s="294">
        <v>1280</v>
      </c>
      <c r="B10" s="295" t="s">
        <v>127</v>
      </c>
      <c r="C10" s="296">
        <v>1</v>
      </c>
      <c r="D10" s="69">
        <f t="shared" si="3"/>
      </c>
      <c r="E10" s="70" t="str">
        <f t="shared" si="4"/>
        <v>1280 Kontormaskiner</v>
      </c>
      <c r="T10" s="379">
        <f t="shared" si="0"/>
        <v>1280</v>
      </c>
      <c r="U10" s="380" t="str">
        <f t="shared" si="1"/>
        <v>Kontormaskiner</v>
      </c>
      <c r="V10" s="381">
        <f t="shared" si="2"/>
        <v>1</v>
      </c>
      <c r="W10" s="382">
        <f t="shared" si="5"/>
        <v>6940</v>
      </c>
      <c r="X10" s="382" t="str">
        <f t="shared" si="6"/>
        <v>Porto</v>
      </c>
      <c r="Y10" s="383">
        <f t="shared" si="7"/>
        <v>1</v>
      </c>
      <c r="Z10" s="382">
        <f t="shared" si="8"/>
        <v>0</v>
      </c>
      <c r="AA10" s="382">
        <f t="shared" si="9"/>
        <v>0</v>
      </c>
      <c r="AB10" s="383">
        <f t="shared" si="10"/>
        <v>0</v>
      </c>
    </row>
    <row r="11" spans="1:28" ht="15">
      <c r="A11" s="294">
        <v>1400</v>
      </c>
      <c r="B11" s="368" t="s">
        <v>128</v>
      </c>
      <c r="C11" s="296"/>
      <c r="D11" s="69">
        <f t="shared" si="3"/>
      </c>
      <c r="E11" s="70" t="str">
        <f t="shared" si="4"/>
        <v>1400 Råvarer, innkj.halvfabr.</v>
      </c>
      <c r="G11" s="391"/>
      <c r="H11" s="391"/>
      <c r="I11" s="391"/>
      <c r="T11" s="379">
        <f t="shared" si="0"/>
        <v>1400</v>
      </c>
      <c r="U11" s="380" t="str">
        <f t="shared" si="1"/>
        <v>Råvarer, innkj.halvfabr.</v>
      </c>
      <c r="V11" s="381">
        <f t="shared" si="2"/>
        <v>0</v>
      </c>
      <c r="W11" s="382">
        <f t="shared" si="5"/>
        <v>7000</v>
      </c>
      <c r="X11" s="382" t="str">
        <f t="shared" si="6"/>
        <v>Bensin</v>
      </c>
      <c r="Y11" s="383">
        <f t="shared" si="7"/>
        <v>1</v>
      </c>
      <c r="Z11" s="382">
        <f t="shared" si="8"/>
        <v>0</v>
      </c>
      <c r="AA11" s="382">
        <f t="shared" si="9"/>
        <v>0</v>
      </c>
      <c r="AB11" s="383">
        <f t="shared" si="10"/>
        <v>0</v>
      </c>
    </row>
    <row r="12" spans="1:28" ht="15">
      <c r="A12" s="294">
        <v>1420</v>
      </c>
      <c r="B12" s="295" t="s">
        <v>129</v>
      </c>
      <c r="C12" s="296"/>
      <c r="D12" s="69">
        <f t="shared" si="3"/>
      </c>
      <c r="E12" s="70" t="str">
        <f t="shared" si="4"/>
        <v>1420 Varer under tilvirkning</v>
      </c>
      <c r="G12" s="391"/>
      <c r="H12" s="391"/>
      <c r="I12" s="468">
        <v>0.11</v>
      </c>
      <c r="J12" s="391"/>
      <c r="T12" s="379">
        <f t="shared" si="0"/>
        <v>1420</v>
      </c>
      <c r="U12" s="380" t="str">
        <f t="shared" si="1"/>
        <v>Varer under tilvirkning</v>
      </c>
      <c r="V12" s="381">
        <f t="shared" si="2"/>
        <v>0</v>
      </c>
      <c r="W12" s="382">
        <f t="shared" si="5"/>
        <v>7005</v>
      </c>
      <c r="X12" s="382" t="str">
        <f t="shared" si="6"/>
        <v>Diesel</v>
      </c>
      <c r="Y12" s="383">
        <f t="shared" si="7"/>
        <v>1</v>
      </c>
      <c r="Z12" s="382">
        <f t="shared" si="8"/>
        <v>0</v>
      </c>
      <c r="AA12" s="382">
        <f t="shared" si="9"/>
        <v>0</v>
      </c>
      <c r="AB12" s="383">
        <f t="shared" si="10"/>
        <v>0</v>
      </c>
    </row>
    <row r="13" spans="1:28" ht="15">
      <c r="A13" s="294">
        <v>1440</v>
      </c>
      <c r="B13" s="295" t="s">
        <v>130</v>
      </c>
      <c r="C13" s="296"/>
      <c r="D13" s="69">
        <f t="shared" si="3"/>
      </c>
      <c r="E13" s="70" t="str">
        <f t="shared" si="4"/>
        <v>1440 Ferdige egentilv. varer</v>
      </c>
      <c r="G13" s="391"/>
      <c r="H13" s="391"/>
      <c r="I13" s="468">
        <v>0.07</v>
      </c>
      <c r="J13" s="391"/>
      <c r="T13" s="379">
        <f t="shared" si="0"/>
        <v>1440</v>
      </c>
      <c r="U13" s="380" t="str">
        <f t="shared" si="1"/>
        <v>Ferdige egentilv. varer</v>
      </c>
      <c r="V13" s="381">
        <f t="shared" si="2"/>
        <v>0</v>
      </c>
      <c r="W13" s="382">
        <f t="shared" si="5"/>
        <v>7020</v>
      </c>
      <c r="X13" s="382" t="str">
        <f t="shared" si="6"/>
        <v>Vedlikehold transportm.</v>
      </c>
      <c r="Y13" s="383">
        <f t="shared" si="7"/>
        <v>1</v>
      </c>
      <c r="Z13" s="382">
        <f t="shared" si="8"/>
        <v>0</v>
      </c>
      <c r="AA13" s="382">
        <f t="shared" si="9"/>
        <v>0</v>
      </c>
      <c r="AB13" s="383">
        <f t="shared" si="10"/>
        <v>0</v>
      </c>
    </row>
    <row r="14" spans="1:28" ht="15">
      <c r="A14" s="294">
        <v>1460</v>
      </c>
      <c r="B14" s="295" t="s">
        <v>131</v>
      </c>
      <c r="C14" s="296"/>
      <c r="D14" s="69">
        <f t="shared" si="3"/>
      </c>
      <c r="E14" s="70" t="str">
        <f t="shared" si="4"/>
        <v>1460 Innkj. varer for videres.</v>
      </c>
      <c r="G14" s="391"/>
      <c r="H14" s="391"/>
      <c r="I14" s="469"/>
      <c r="J14" s="391"/>
      <c r="T14" s="379">
        <f t="shared" si="0"/>
        <v>1460</v>
      </c>
      <c r="U14" s="380" t="str">
        <f t="shared" si="1"/>
        <v>Innkj. varer for videres.</v>
      </c>
      <c r="V14" s="381">
        <f t="shared" si="2"/>
        <v>0</v>
      </c>
      <c r="W14" s="382">
        <f t="shared" si="5"/>
        <v>7040</v>
      </c>
      <c r="X14" s="382" t="str">
        <f t="shared" si="6"/>
        <v>Forsikring transportm.</v>
      </c>
      <c r="Y14" s="383">
        <f t="shared" si="7"/>
        <v>0</v>
      </c>
      <c r="Z14" s="382">
        <f t="shared" si="8"/>
        <v>0</v>
      </c>
      <c r="AA14" s="382">
        <f t="shared" si="9"/>
        <v>0</v>
      </c>
      <c r="AB14" s="383">
        <f t="shared" si="10"/>
        <v>0</v>
      </c>
    </row>
    <row r="15" spans="1:28" ht="15">
      <c r="A15" s="294">
        <v>1500</v>
      </c>
      <c r="B15" s="295" t="s">
        <v>34</v>
      </c>
      <c r="C15" s="296"/>
      <c r="D15" s="69">
        <f t="shared" si="3"/>
      </c>
      <c r="E15" s="70" t="str">
        <f t="shared" si="4"/>
        <v>1500 Kundefordringer</v>
      </c>
      <c r="G15" s="391"/>
      <c r="H15" s="391"/>
      <c r="I15" s="469"/>
      <c r="J15" s="391"/>
      <c r="T15" s="379">
        <f t="shared" si="0"/>
        <v>1500</v>
      </c>
      <c r="U15" s="380" t="str">
        <f t="shared" si="1"/>
        <v>Kundefordringer</v>
      </c>
      <c r="V15" s="381">
        <f t="shared" si="2"/>
        <v>0</v>
      </c>
      <c r="W15" s="382">
        <f t="shared" si="5"/>
        <v>7300</v>
      </c>
      <c r="X15" s="382" t="str">
        <f t="shared" si="6"/>
        <v>Salgskostnad</v>
      </c>
      <c r="Y15" s="383">
        <f t="shared" si="7"/>
        <v>1</v>
      </c>
      <c r="Z15" s="382">
        <f t="shared" si="8"/>
        <v>0</v>
      </c>
      <c r="AA15" s="382">
        <f t="shared" si="9"/>
        <v>0</v>
      </c>
      <c r="AB15" s="383">
        <f t="shared" si="10"/>
        <v>0</v>
      </c>
    </row>
    <row r="16" spans="1:28" ht="15">
      <c r="A16" s="294">
        <v>1730</v>
      </c>
      <c r="B16" s="295" t="s">
        <v>132</v>
      </c>
      <c r="C16" s="296"/>
      <c r="D16" s="69">
        <f t="shared" si="3"/>
      </c>
      <c r="E16" s="70" t="str">
        <f t="shared" si="4"/>
        <v>1730 Forskuddsbetalt lønn</v>
      </c>
      <c r="I16" s="391"/>
      <c r="J16" s="391"/>
      <c r="T16" s="379">
        <f t="shared" si="0"/>
        <v>1730</v>
      </c>
      <c r="U16" s="380" t="str">
        <f t="shared" si="1"/>
        <v>Forskuddsbetalt lønn</v>
      </c>
      <c r="V16" s="381">
        <f t="shared" si="2"/>
        <v>0</v>
      </c>
      <c r="W16" s="382">
        <f t="shared" si="5"/>
        <v>7320</v>
      </c>
      <c r="X16" s="382" t="str">
        <f t="shared" si="6"/>
        <v>Reklamekostnad</v>
      </c>
      <c r="Y16" s="383">
        <f t="shared" si="7"/>
        <v>1</v>
      </c>
      <c r="Z16" s="382">
        <f t="shared" si="8"/>
        <v>0</v>
      </c>
      <c r="AA16" s="382">
        <f t="shared" si="9"/>
        <v>0</v>
      </c>
      <c r="AB16" s="383">
        <f t="shared" si="10"/>
        <v>0</v>
      </c>
    </row>
    <row r="17" spans="1:28" ht="15">
      <c r="A17" s="294">
        <v>1790</v>
      </c>
      <c r="B17" s="295" t="s">
        <v>133</v>
      </c>
      <c r="C17" s="296"/>
      <c r="D17" s="69">
        <f t="shared" si="3"/>
      </c>
      <c r="E17" s="70" t="str">
        <f t="shared" si="4"/>
        <v>1790 Div. forsk.bet. driftsk..</v>
      </c>
      <c r="I17" s="391"/>
      <c r="J17" s="391"/>
      <c r="T17" s="379">
        <f t="shared" si="0"/>
        <v>1790</v>
      </c>
      <c r="U17" s="380" t="str">
        <f t="shared" si="1"/>
        <v>Div. forsk.bet. driftsk..</v>
      </c>
      <c r="V17" s="381">
        <f t="shared" si="2"/>
        <v>0</v>
      </c>
      <c r="W17" s="382">
        <f t="shared" si="5"/>
        <v>7400</v>
      </c>
      <c r="X17" s="382" t="str">
        <f t="shared" si="6"/>
        <v>Kontingent, fradragsb.</v>
      </c>
      <c r="Y17" s="383">
        <f t="shared" si="7"/>
        <v>0</v>
      </c>
      <c r="Z17" s="382">
        <f t="shared" si="8"/>
        <v>0</v>
      </c>
      <c r="AA17" s="382">
        <f t="shared" si="9"/>
        <v>0</v>
      </c>
      <c r="AB17" s="383">
        <f t="shared" si="10"/>
        <v>0</v>
      </c>
    </row>
    <row r="18" spans="1:28" ht="15">
      <c r="A18" s="294">
        <v>1900</v>
      </c>
      <c r="B18" s="295" t="s">
        <v>134</v>
      </c>
      <c r="C18" s="296"/>
      <c r="D18" s="69">
        <f t="shared" si="3"/>
      </c>
      <c r="E18" s="70" t="str">
        <f t="shared" si="4"/>
        <v>1900 Kontanter                 </v>
      </c>
      <c r="T18" s="379">
        <f t="shared" si="0"/>
        <v>1900</v>
      </c>
      <c r="U18" s="380" t="str">
        <f t="shared" si="1"/>
        <v>Kontanter                 </v>
      </c>
      <c r="V18" s="381">
        <f t="shared" si="2"/>
        <v>0</v>
      </c>
      <c r="W18" s="382">
        <f t="shared" si="5"/>
        <v>7500</v>
      </c>
      <c r="X18" s="382" t="str">
        <f t="shared" si="6"/>
        <v>Forsikring</v>
      </c>
      <c r="Y18" s="383">
        <f t="shared" si="7"/>
        <v>0</v>
      </c>
      <c r="Z18" s="382">
        <f t="shared" si="8"/>
        <v>0</v>
      </c>
      <c r="AA18" s="382">
        <f t="shared" si="9"/>
        <v>0</v>
      </c>
      <c r="AB18" s="383">
        <f t="shared" si="10"/>
        <v>0</v>
      </c>
    </row>
    <row r="19" spans="1:28" ht="15">
      <c r="A19" s="294">
        <v>1920</v>
      </c>
      <c r="B19" s="295" t="s">
        <v>135</v>
      </c>
      <c r="C19" s="296"/>
      <c r="D19" s="69">
        <f t="shared" si="3"/>
      </c>
      <c r="E19" s="70" t="str">
        <f t="shared" si="4"/>
        <v>1920 Bankinnskudd</v>
      </c>
      <c r="T19" s="379">
        <f t="shared" si="0"/>
        <v>1920</v>
      </c>
      <c r="U19" s="380" t="str">
        <f t="shared" si="1"/>
        <v>Bankinnskudd</v>
      </c>
      <c r="V19" s="381">
        <f t="shared" si="2"/>
        <v>0</v>
      </c>
      <c r="W19" s="382">
        <f t="shared" si="5"/>
        <v>7790</v>
      </c>
      <c r="X19" s="382" t="str">
        <f t="shared" si="6"/>
        <v>Annen kostnad</v>
      </c>
      <c r="Y19" s="383">
        <f t="shared" si="7"/>
        <v>1</v>
      </c>
      <c r="Z19" s="382">
        <f t="shared" si="8"/>
        <v>0</v>
      </c>
      <c r="AA19" s="382">
        <f t="shared" si="9"/>
        <v>0</v>
      </c>
      <c r="AB19" s="383">
        <f t="shared" si="10"/>
        <v>0</v>
      </c>
    </row>
    <row r="20" spans="1:28" ht="15">
      <c r="A20" s="294">
        <v>1950</v>
      </c>
      <c r="B20" s="295" t="s">
        <v>136</v>
      </c>
      <c r="C20" s="296"/>
      <c r="D20" s="69">
        <f t="shared" si="3"/>
      </c>
      <c r="E20" s="70" t="str">
        <f t="shared" si="4"/>
        <v>1950 Bankinnsk. for skattetr.</v>
      </c>
      <c r="T20" s="379">
        <f t="shared" si="0"/>
        <v>1950</v>
      </c>
      <c r="U20" s="380" t="str">
        <f t="shared" si="1"/>
        <v>Bankinnsk. for skattetr.</v>
      </c>
      <c r="V20" s="381">
        <f t="shared" si="2"/>
        <v>0</v>
      </c>
      <c r="W20" s="382">
        <f t="shared" si="5"/>
        <v>7830</v>
      </c>
      <c r="X20" s="382" t="str">
        <f t="shared" si="6"/>
        <v>Tap på fordringer</v>
      </c>
      <c r="Y20" s="383">
        <f t="shared" si="7"/>
        <v>2</v>
      </c>
      <c r="Z20" s="382">
        <f t="shared" si="8"/>
        <v>0</v>
      </c>
      <c r="AA20" s="382">
        <f t="shared" si="9"/>
        <v>0</v>
      </c>
      <c r="AB20" s="383">
        <f t="shared" si="10"/>
        <v>0</v>
      </c>
    </row>
    <row r="21" spans="1:28" ht="15">
      <c r="A21" s="294">
        <v>2000</v>
      </c>
      <c r="B21" s="295" t="s">
        <v>137</v>
      </c>
      <c r="C21" s="296"/>
      <c r="D21" s="69">
        <f t="shared" si="3"/>
      </c>
      <c r="E21" s="70" t="str">
        <f t="shared" si="4"/>
        <v>2000 Aksjekapital</v>
      </c>
      <c r="T21" s="379">
        <f t="shared" si="0"/>
        <v>2000</v>
      </c>
      <c r="U21" s="380" t="str">
        <f t="shared" si="1"/>
        <v>Aksjekapital</v>
      </c>
      <c r="V21" s="381">
        <f t="shared" si="2"/>
        <v>0</v>
      </c>
      <c r="W21" s="382">
        <f t="shared" si="5"/>
        <v>8050</v>
      </c>
      <c r="X21" s="382" t="str">
        <f t="shared" si="6"/>
        <v>Renteinntekt</v>
      </c>
      <c r="Y21" s="383">
        <f t="shared" si="7"/>
        <v>0</v>
      </c>
      <c r="Z21" s="382">
        <f t="shared" si="8"/>
        <v>0</v>
      </c>
      <c r="AA21" s="382">
        <f t="shared" si="9"/>
        <v>0</v>
      </c>
      <c r="AB21" s="383">
        <f t="shared" si="10"/>
        <v>0</v>
      </c>
    </row>
    <row r="22" spans="1:28" ht="15">
      <c r="A22" s="294">
        <v>2050</v>
      </c>
      <c r="B22" s="295" t="s">
        <v>138</v>
      </c>
      <c r="C22" s="296"/>
      <c r="D22" s="69">
        <f t="shared" si="3"/>
      </c>
      <c r="E22" s="70" t="str">
        <f t="shared" si="4"/>
        <v>2050 Annen egenkapital</v>
      </c>
      <c r="T22" s="379">
        <f t="shared" si="0"/>
        <v>2050</v>
      </c>
      <c r="U22" s="380" t="str">
        <f t="shared" si="1"/>
        <v>Annen egenkapital</v>
      </c>
      <c r="V22" s="381">
        <f t="shared" si="2"/>
        <v>0</v>
      </c>
      <c r="W22" s="382">
        <f t="shared" si="5"/>
        <v>8150</v>
      </c>
      <c r="X22" s="382" t="str">
        <f t="shared" si="6"/>
        <v>Rentekostnad</v>
      </c>
      <c r="Y22" s="383">
        <f t="shared" si="7"/>
        <v>0</v>
      </c>
      <c r="Z22" s="382">
        <f t="shared" si="8"/>
        <v>0</v>
      </c>
      <c r="AA22" s="382">
        <f t="shared" si="9"/>
        <v>0</v>
      </c>
      <c r="AB22" s="383">
        <f t="shared" si="10"/>
        <v>0</v>
      </c>
    </row>
    <row r="23" spans="1:28" ht="15">
      <c r="A23" s="294">
        <v>2060</v>
      </c>
      <c r="B23" s="295" t="s">
        <v>139</v>
      </c>
      <c r="C23" s="296"/>
      <c r="D23" s="69">
        <f t="shared" si="3"/>
      </c>
      <c r="E23" s="70" t="str">
        <f t="shared" si="4"/>
        <v>2060 Privatkonto</v>
      </c>
      <c r="T23" s="379">
        <f t="shared" si="0"/>
        <v>2060</v>
      </c>
      <c r="U23" s="380" t="str">
        <f t="shared" si="1"/>
        <v>Privatkonto</v>
      </c>
      <c r="V23" s="381">
        <f t="shared" si="2"/>
        <v>0</v>
      </c>
      <c r="W23" s="382">
        <f t="shared" si="5"/>
        <v>8300</v>
      </c>
      <c r="X23" s="382" t="str">
        <f t="shared" si="6"/>
        <v>Betalbar skatt ord. res.</v>
      </c>
      <c r="Y23" s="383">
        <f t="shared" si="7"/>
        <v>0</v>
      </c>
      <c r="Z23" s="382">
        <f t="shared" si="8"/>
        <v>0</v>
      </c>
      <c r="AA23" s="382">
        <f t="shared" si="9"/>
        <v>0</v>
      </c>
      <c r="AB23" s="383">
        <f t="shared" si="10"/>
        <v>0</v>
      </c>
    </row>
    <row r="24" spans="1:28" ht="15">
      <c r="A24" s="294">
        <v>2240</v>
      </c>
      <c r="B24" s="295" t="s">
        <v>140</v>
      </c>
      <c r="C24" s="296"/>
      <c r="D24" s="69">
        <f t="shared" si="3"/>
      </c>
      <c r="E24" s="70" t="str">
        <f t="shared" si="4"/>
        <v>2240 Pantelån</v>
      </c>
      <c r="T24" s="379">
        <f t="shared" si="0"/>
        <v>2240</v>
      </c>
      <c r="U24" s="380" t="str">
        <f t="shared" si="1"/>
        <v>Pantelån</v>
      </c>
      <c r="V24" s="381">
        <f t="shared" si="2"/>
        <v>0</v>
      </c>
      <c r="W24" s="382">
        <f t="shared" si="5"/>
        <v>8490</v>
      </c>
      <c r="X24" s="382" t="str">
        <f t="shared" si="6"/>
        <v>Ekstraordinær inntekt</v>
      </c>
      <c r="Y24" s="383">
        <f t="shared" si="7"/>
        <v>0</v>
      </c>
      <c r="Z24" s="382">
        <f t="shared" si="8"/>
        <v>0</v>
      </c>
      <c r="AA24" s="382">
        <f t="shared" si="9"/>
        <v>0</v>
      </c>
      <c r="AB24" s="383">
        <f t="shared" si="10"/>
        <v>0</v>
      </c>
    </row>
    <row r="25" spans="1:28" ht="15">
      <c r="A25" s="294">
        <v>2290</v>
      </c>
      <c r="B25" s="295" t="s">
        <v>141</v>
      </c>
      <c r="C25" s="296"/>
      <c r="D25" s="69">
        <f t="shared" si="3"/>
      </c>
      <c r="E25" s="70" t="str">
        <f t="shared" si="4"/>
        <v>2290 Annen langsiktig gjeld</v>
      </c>
      <c r="T25" s="379">
        <f t="shared" si="0"/>
        <v>2290</v>
      </c>
      <c r="U25" s="380" t="str">
        <f t="shared" si="1"/>
        <v>Annen langsiktig gjeld</v>
      </c>
      <c r="V25" s="381">
        <f t="shared" si="2"/>
        <v>0</v>
      </c>
      <c r="W25" s="382">
        <f t="shared" si="5"/>
        <v>8590</v>
      </c>
      <c r="X25" s="382" t="str">
        <f t="shared" si="6"/>
        <v>Ekstraordinær kostnad</v>
      </c>
      <c r="Y25" s="383">
        <f t="shared" si="7"/>
        <v>0</v>
      </c>
      <c r="Z25" s="382">
        <f t="shared" si="8"/>
        <v>0</v>
      </c>
      <c r="AA25" s="382">
        <f t="shared" si="9"/>
        <v>0</v>
      </c>
      <c r="AB25" s="383">
        <f t="shared" si="10"/>
        <v>0</v>
      </c>
    </row>
    <row r="26" spans="1:28" ht="15">
      <c r="A26" s="294">
        <v>2380</v>
      </c>
      <c r="B26" s="295" t="s">
        <v>63</v>
      </c>
      <c r="C26" s="296"/>
      <c r="D26" s="69">
        <f t="shared" si="3"/>
      </c>
      <c r="E26" s="70" t="str">
        <f t="shared" si="4"/>
        <v>2380 Kassekreditt</v>
      </c>
      <c r="T26" s="379">
        <f t="shared" si="0"/>
        <v>2380</v>
      </c>
      <c r="U26" s="380" t="str">
        <f t="shared" si="1"/>
        <v>Kassekreditt</v>
      </c>
      <c r="V26" s="381">
        <f t="shared" si="2"/>
        <v>0</v>
      </c>
      <c r="W26" s="382">
        <f t="shared" si="5"/>
        <v>8600</v>
      </c>
      <c r="X26" s="382" t="str">
        <f t="shared" si="6"/>
        <v>Bet. b. sk. ekstraord. r.</v>
      </c>
      <c r="Y26" s="383">
        <f t="shared" si="7"/>
        <v>0</v>
      </c>
      <c r="Z26" s="382">
        <f t="shared" si="8"/>
        <v>0</v>
      </c>
      <c r="AA26" s="382">
        <f t="shared" si="9"/>
        <v>0</v>
      </c>
      <c r="AB26" s="383">
        <f t="shared" si="10"/>
        <v>0</v>
      </c>
    </row>
    <row r="27" spans="1:28" ht="15">
      <c r="A27" s="294">
        <v>2400</v>
      </c>
      <c r="B27" s="295" t="s">
        <v>40</v>
      </c>
      <c r="C27" s="296"/>
      <c r="D27" s="69">
        <f t="shared" si="3"/>
      </c>
      <c r="E27" s="70" t="str">
        <f t="shared" si="4"/>
        <v>2400 Leverandørgjeld</v>
      </c>
      <c r="T27" s="379">
        <f t="shared" si="0"/>
        <v>2400</v>
      </c>
      <c r="U27" s="380" t="str">
        <f t="shared" si="1"/>
        <v>Leverandørgjeld</v>
      </c>
      <c r="V27" s="381">
        <f t="shared" si="2"/>
        <v>0</v>
      </c>
      <c r="W27" s="382">
        <f t="shared" si="5"/>
        <v>8920</v>
      </c>
      <c r="X27" s="382" t="str">
        <f t="shared" si="6"/>
        <v>Avsatt utbytte</v>
      </c>
      <c r="Y27" s="383">
        <f t="shared" si="7"/>
        <v>0</v>
      </c>
      <c r="Z27" s="382">
        <f t="shared" si="8"/>
        <v>0</v>
      </c>
      <c r="AA27" s="382">
        <f t="shared" si="9"/>
        <v>0</v>
      </c>
      <c r="AB27" s="383">
        <f t="shared" si="10"/>
        <v>0</v>
      </c>
    </row>
    <row r="28" spans="1:28" ht="15">
      <c r="A28" s="294">
        <v>2500</v>
      </c>
      <c r="B28" s="295" t="s">
        <v>142</v>
      </c>
      <c r="C28" s="296"/>
      <c r="D28" s="69">
        <f t="shared" si="3"/>
      </c>
      <c r="E28" s="70" t="str">
        <f t="shared" si="4"/>
        <v>2500 Betalbar skatt, ikke utl.</v>
      </c>
      <c r="T28" s="379">
        <f t="shared" si="0"/>
        <v>2500</v>
      </c>
      <c r="U28" s="380" t="str">
        <f t="shared" si="1"/>
        <v>Betalbar skatt, ikke utl.</v>
      </c>
      <c r="V28" s="381">
        <f t="shared" si="2"/>
        <v>0</v>
      </c>
      <c r="W28" s="382">
        <f t="shared" si="5"/>
        <v>8960</v>
      </c>
      <c r="X28" s="382" t="str">
        <f t="shared" si="6"/>
        <v>Overf. a. egenkapital</v>
      </c>
      <c r="Y28" s="383">
        <f t="shared" si="7"/>
        <v>0</v>
      </c>
      <c r="Z28" s="382">
        <f t="shared" si="8"/>
        <v>0</v>
      </c>
      <c r="AA28" s="382">
        <f t="shared" si="9"/>
        <v>0</v>
      </c>
      <c r="AB28" s="383">
        <f t="shared" si="10"/>
        <v>0</v>
      </c>
    </row>
    <row r="29" spans="1:28" ht="15">
      <c r="A29" s="294">
        <v>2540</v>
      </c>
      <c r="B29" s="295" t="s">
        <v>143</v>
      </c>
      <c r="C29" s="296"/>
      <c r="D29" s="69">
        <f t="shared" si="3"/>
      </c>
      <c r="E29" s="70" t="str">
        <f t="shared" si="4"/>
        <v>2540 Forhåndsskatt</v>
      </c>
      <c r="T29" s="379">
        <f t="shared" si="0"/>
        <v>2540</v>
      </c>
      <c r="U29" s="380" t="str">
        <f t="shared" si="1"/>
        <v>Forhåndsskatt</v>
      </c>
      <c r="V29" s="381">
        <f t="shared" si="2"/>
        <v>0</v>
      </c>
      <c r="W29" s="382">
        <f t="shared" si="5"/>
        <v>8990</v>
      </c>
      <c r="X29" s="382" t="str">
        <f t="shared" si="6"/>
        <v>Udekket tap</v>
      </c>
      <c r="Y29" s="383">
        <f t="shared" si="7"/>
        <v>0</v>
      </c>
      <c r="Z29" s="382">
        <f t="shared" si="8"/>
        <v>0</v>
      </c>
      <c r="AA29" s="382">
        <f t="shared" si="9"/>
        <v>0</v>
      </c>
      <c r="AB29" s="383">
        <f t="shared" si="10"/>
        <v>0</v>
      </c>
    </row>
    <row r="30" spans="1:28" ht="15">
      <c r="A30" s="294">
        <v>2600</v>
      </c>
      <c r="B30" s="295" t="s">
        <v>144</v>
      </c>
      <c r="C30" s="296"/>
      <c r="D30" s="69">
        <f t="shared" si="3"/>
      </c>
      <c r="E30" s="70" t="str">
        <f t="shared" si="4"/>
        <v>2600 Skattetrekk</v>
      </c>
      <c r="T30" s="379">
        <f t="shared" si="0"/>
        <v>2600</v>
      </c>
      <c r="U30" s="380" t="str">
        <f t="shared" si="1"/>
        <v>Skattetrekk</v>
      </c>
      <c r="V30" s="381">
        <f t="shared" si="2"/>
        <v>0</v>
      </c>
      <c r="W30" s="382">
        <f t="shared" si="5"/>
        <v>15001</v>
      </c>
      <c r="X30" s="382" t="str">
        <f t="shared" si="6"/>
        <v>Nilsen Bakervarer AS</v>
      </c>
      <c r="Y30" s="383">
        <f t="shared" si="7"/>
        <v>0</v>
      </c>
      <c r="Z30" s="382">
        <f t="shared" si="8"/>
        <v>0</v>
      </c>
      <c r="AA30" s="382">
        <f t="shared" si="9"/>
        <v>0</v>
      </c>
      <c r="AB30" s="383">
        <f t="shared" si="10"/>
        <v>0</v>
      </c>
    </row>
    <row r="31" spans="1:28" ht="15">
      <c r="A31" s="294">
        <v>2700</v>
      </c>
      <c r="B31" s="295" t="s">
        <v>145</v>
      </c>
      <c r="C31" s="296"/>
      <c r="D31" s="69">
        <f t="shared" si="3"/>
      </c>
      <c r="E31" s="70" t="str">
        <f t="shared" si="4"/>
        <v>2700 Utgående mva</v>
      </c>
      <c r="T31" s="379">
        <f t="shared" si="0"/>
        <v>2700</v>
      </c>
      <c r="U31" s="380" t="str">
        <f t="shared" si="1"/>
        <v>Utgående mva</v>
      </c>
      <c r="V31" s="381">
        <f t="shared" si="2"/>
        <v>0</v>
      </c>
      <c r="W31" s="382">
        <f t="shared" si="5"/>
        <v>15002</v>
      </c>
      <c r="X31" s="382" t="str">
        <f t="shared" si="6"/>
        <v>Budservice AS</v>
      </c>
      <c r="Y31" s="383">
        <f t="shared" si="7"/>
        <v>0</v>
      </c>
      <c r="Z31" s="382">
        <f t="shared" si="8"/>
        <v>0</v>
      </c>
      <c r="AA31" s="382">
        <f t="shared" si="9"/>
        <v>0</v>
      </c>
      <c r="AB31" s="383">
        <f t="shared" si="10"/>
        <v>0</v>
      </c>
    </row>
    <row r="32" spans="1:28" ht="15">
      <c r="A32" s="294">
        <v>2710</v>
      </c>
      <c r="B32" s="295" t="s">
        <v>146</v>
      </c>
      <c r="C32" s="296"/>
      <c r="D32" s="69">
        <f t="shared" si="3"/>
      </c>
      <c r="E32" s="70" t="str">
        <f t="shared" si="4"/>
        <v>2710 Inngående mva</v>
      </c>
      <c r="T32" s="379">
        <f t="shared" si="0"/>
        <v>2710</v>
      </c>
      <c r="U32" s="380" t="str">
        <f t="shared" si="1"/>
        <v>Inngående mva</v>
      </c>
      <c r="V32" s="381">
        <f t="shared" si="2"/>
        <v>0</v>
      </c>
      <c r="W32" s="382">
        <f t="shared" si="5"/>
        <v>15009</v>
      </c>
      <c r="X32" s="382" t="str">
        <f t="shared" si="6"/>
        <v>Diverse kunder</v>
      </c>
      <c r="Y32" s="383">
        <f t="shared" si="7"/>
        <v>0</v>
      </c>
      <c r="Z32" s="382">
        <f t="shared" si="8"/>
        <v>0</v>
      </c>
      <c r="AA32" s="382">
        <f t="shared" si="9"/>
        <v>0</v>
      </c>
      <c r="AB32" s="383">
        <f t="shared" si="10"/>
        <v>0</v>
      </c>
    </row>
    <row r="33" spans="1:28" ht="15">
      <c r="A33" s="294">
        <v>2740</v>
      </c>
      <c r="B33" s="295" t="s">
        <v>147</v>
      </c>
      <c r="C33" s="296"/>
      <c r="D33" s="69">
        <f t="shared" si="3"/>
      </c>
      <c r="E33" s="70" t="str">
        <f t="shared" si="4"/>
        <v>2740 Oppgjørskonto mva</v>
      </c>
      <c r="T33" s="379">
        <f t="shared" si="0"/>
        <v>2740</v>
      </c>
      <c r="U33" s="380" t="str">
        <f t="shared" si="1"/>
        <v>Oppgjørskonto mva</v>
      </c>
      <c r="V33" s="381">
        <f t="shared" si="2"/>
        <v>0</v>
      </c>
      <c r="W33" s="382">
        <f t="shared" si="5"/>
        <v>24001</v>
      </c>
      <c r="X33" s="382" t="str">
        <f t="shared" si="6"/>
        <v>Autopart AS</v>
      </c>
      <c r="Y33" s="383">
        <f t="shared" si="7"/>
        <v>0</v>
      </c>
      <c r="Z33" s="382">
        <f t="shared" si="8"/>
        <v>0</v>
      </c>
      <c r="AA33" s="382">
        <f t="shared" si="9"/>
        <v>0</v>
      </c>
      <c r="AB33" s="383">
        <f t="shared" si="10"/>
        <v>0</v>
      </c>
    </row>
    <row r="34" spans="1:28" ht="15">
      <c r="A34" s="294">
        <v>2770</v>
      </c>
      <c r="B34" s="295" t="s">
        <v>148</v>
      </c>
      <c r="C34" s="296"/>
      <c r="D34" s="69">
        <f t="shared" si="3"/>
      </c>
      <c r="E34" s="70" t="str">
        <f t="shared" si="4"/>
        <v>2770 Skyldig arb.gj.avgift</v>
      </c>
      <c r="T34" s="379">
        <f t="shared" si="0"/>
        <v>2770</v>
      </c>
      <c r="U34" s="380" t="str">
        <f t="shared" si="1"/>
        <v>Skyldig arb.gj.avgift</v>
      </c>
      <c r="V34" s="381">
        <f t="shared" si="2"/>
        <v>0</v>
      </c>
      <c r="W34" s="382">
        <f t="shared" si="5"/>
        <v>24002</v>
      </c>
      <c r="X34" s="382" t="str">
        <f t="shared" si="6"/>
        <v>Biltilbehør AS</v>
      </c>
      <c r="Y34" s="383">
        <f t="shared" si="7"/>
        <v>0</v>
      </c>
      <c r="Z34" s="382">
        <f t="shared" si="8"/>
        <v>0</v>
      </c>
      <c r="AA34" s="382">
        <f t="shared" si="9"/>
        <v>0</v>
      </c>
      <c r="AB34" s="383">
        <f t="shared" si="10"/>
        <v>0</v>
      </c>
    </row>
    <row r="35" spans="1:28" ht="15">
      <c r="A35" s="294">
        <v>2780</v>
      </c>
      <c r="B35" s="295" t="s">
        <v>149</v>
      </c>
      <c r="C35" s="296"/>
      <c r="D35" s="69">
        <f t="shared" si="3"/>
      </c>
      <c r="E35" s="70" t="str">
        <f t="shared" si="4"/>
        <v>2780 Påløpt arbeidsgiveravg.</v>
      </c>
      <c r="T35" s="379">
        <f t="shared" si="0"/>
        <v>2780</v>
      </c>
      <c r="U35" s="380" t="str">
        <f t="shared" si="1"/>
        <v>Påløpt arbeidsgiveravg.</v>
      </c>
      <c r="V35" s="381">
        <f t="shared" si="2"/>
        <v>0</v>
      </c>
      <c r="W35" s="382">
        <f t="shared" si="5"/>
        <v>24099</v>
      </c>
      <c r="X35" s="382" t="str">
        <f t="shared" si="6"/>
        <v>Diverse leverandører</v>
      </c>
      <c r="Y35" s="383">
        <f t="shared" si="7"/>
        <v>0</v>
      </c>
      <c r="Z35" s="382">
        <f t="shared" si="8"/>
        <v>0</v>
      </c>
      <c r="AA35" s="382">
        <f t="shared" si="9"/>
        <v>0</v>
      </c>
      <c r="AB35" s="383">
        <f t="shared" si="10"/>
        <v>0</v>
      </c>
    </row>
    <row r="36" spans="1:28" ht="15">
      <c r="A36" s="294">
        <v>2800</v>
      </c>
      <c r="B36" s="295" t="s">
        <v>150</v>
      </c>
      <c r="C36" s="296"/>
      <c r="D36" s="69">
        <f t="shared" si="3"/>
      </c>
      <c r="E36" s="70" t="str">
        <f t="shared" si="4"/>
        <v>2800 Avsatt utbytte</v>
      </c>
      <c r="T36" s="379">
        <f t="shared" si="0"/>
        <v>2800</v>
      </c>
      <c r="U36" s="380" t="str">
        <f t="shared" si="1"/>
        <v>Avsatt utbytte</v>
      </c>
      <c r="V36" s="381">
        <f t="shared" si="2"/>
        <v>0</v>
      </c>
      <c r="W36" s="382">
        <f t="shared" si="5"/>
        <v>0</v>
      </c>
      <c r="X36" s="382">
        <f t="shared" si="6"/>
        <v>0</v>
      </c>
      <c r="Y36" s="383">
        <f t="shared" si="7"/>
        <v>0</v>
      </c>
      <c r="Z36" s="382">
        <f t="shared" si="8"/>
        <v>0</v>
      </c>
      <c r="AA36" s="382">
        <f t="shared" si="9"/>
        <v>0</v>
      </c>
      <c r="AB36" s="383">
        <f t="shared" si="10"/>
        <v>0</v>
      </c>
    </row>
    <row r="37" spans="1:28" ht="15">
      <c r="A37" s="294">
        <v>2930</v>
      </c>
      <c r="B37" s="295" t="s">
        <v>151</v>
      </c>
      <c r="C37" s="296"/>
      <c r="D37" s="69">
        <f t="shared" si="3"/>
      </c>
      <c r="E37" s="70" t="str">
        <f t="shared" si="4"/>
        <v>2930 Lønn (skyldig lønn)</v>
      </c>
      <c r="T37" s="379">
        <f t="shared" si="0"/>
        <v>2930</v>
      </c>
      <c r="U37" s="380" t="str">
        <f t="shared" si="1"/>
        <v>Lønn (skyldig lønn)</v>
      </c>
      <c r="V37" s="381">
        <f t="shared" si="2"/>
        <v>0</v>
      </c>
      <c r="W37" s="382">
        <f t="shared" si="5"/>
        <v>0</v>
      </c>
      <c r="X37" s="382">
        <f t="shared" si="6"/>
        <v>0</v>
      </c>
      <c r="Y37" s="383">
        <f t="shared" si="7"/>
        <v>0</v>
      </c>
      <c r="Z37" s="382">
        <f t="shared" si="8"/>
        <v>0</v>
      </c>
      <c r="AA37" s="382">
        <f t="shared" si="9"/>
        <v>0</v>
      </c>
      <c r="AB37" s="383">
        <f t="shared" si="10"/>
        <v>0</v>
      </c>
    </row>
    <row r="38" spans="1:28" ht="15">
      <c r="A38" s="294">
        <v>2940</v>
      </c>
      <c r="B38" s="295" t="s">
        <v>152</v>
      </c>
      <c r="C38" s="296"/>
      <c r="D38" s="69">
        <f t="shared" si="3"/>
      </c>
      <c r="E38" s="70" t="str">
        <f t="shared" si="4"/>
        <v>2940 Feriepenger (skyld. fp.)</v>
      </c>
      <c r="T38" s="379">
        <f t="shared" si="0"/>
        <v>2940</v>
      </c>
      <c r="U38" s="380" t="str">
        <f t="shared" si="1"/>
        <v>Feriepenger (skyld. fp.)</v>
      </c>
      <c r="V38" s="381">
        <f t="shared" si="2"/>
        <v>0</v>
      </c>
      <c r="W38" s="382">
        <f t="shared" si="5"/>
        <v>0</v>
      </c>
      <c r="X38" s="382">
        <f t="shared" si="6"/>
        <v>0</v>
      </c>
      <c r="Y38" s="383">
        <f t="shared" si="7"/>
        <v>0</v>
      </c>
      <c r="Z38" s="382">
        <f t="shared" si="8"/>
        <v>0</v>
      </c>
      <c r="AA38" s="382">
        <f t="shared" si="9"/>
        <v>0</v>
      </c>
      <c r="AB38" s="383">
        <f t="shared" si="10"/>
        <v>0</v>
      </c>
    </row>
    <row r="39" spans="1:28" ht="15">
      <c r="A39" s="294">
        <v>2960</v>
      </c>
      <c r="B39" s="295" t="s">
        <v>153</v>
      </c>
      <c r="C39" s="296"/>
      <c r="D39" s="69">
        <f t="shared" si="3"/>
      </c>
      <c r="E39" s="70" t="str">
        <f t="shared" si="4"/>
        <v>2960 Div. skyldige driftsk..</v>
      </c>
      <c r="T39" s="379">
        <f t="shared" si="0"/>
        <v>2960</v>
      </c>
      <c r="U39" s="380" t="str">
        <f t="shared" si="1"/>
        <v>Div. skyldige driftsk..</v>
      </c>
      <c r="V39" s="381">
        <f t="shared" si="2"/>
        <v>0</v>
      </c>
      <c r="W39" s="382">
        <f t="shared" si="5"/>
        <v>0</v>
      </c>
      <c r="X39" s="382">
        <f t="shared" si="6"/>
        <v>0</v>
      </c>
      <c r="Y39" s="383">
        <f t="shared" si="7"/>
        <v>0</v>
      </c>
      <c r="Z39" s="382">
        <f t="shared" si="8"/>
        <v>0</v>
      </c>
      <c r="AA39" s="382">
        <f t="shared" si="9"/>
        <v>0</v>
      </c>
      <c r="AB39" s="383">
        <f t="shared" si="10"/>
        <v>0</v>
      </c>
    </row>
    <row r="40" spans="1:28" ht="15">
      <c r="A40" s="294">
        <v>2990</v>
      </c>
      <c r="B40" s="295" t="s">
        <v>45</v>
      </c>
      <c r="C40" s="296"/>
      <c r="D40" s="69">
        <f t="shared" si="3"/>
      </c>
      <c r="E40" s="70" t="str">
        <f t="shared" si="4"/>
        <v>2990 Annen kortsiktig gjeld</v>
      </c>
      <c r="T40" s="379">
        <f t="shared" si="0"/>
        <v>2990</v>
      </c>
      <c r="U40" s="380" t="str">
        <f t="shared" si="1"/>
        <v>Annen kortsiktig gjeld</v>
      </c>
      <c r="V40" s="381">
        <f t="shared" si="2"/>
        <v>0</v>
      </c>
      <c r="W40" s="382">
        <f t="shared" si="5"/>
        <v>0</v>
      </c>
      <c r="X40" s="382">
        <f t="shared" si="6"/>
        <v>0</v>
      </c>
      <c r="Y40" s="383">
        <f t="shared" si="7"/>
        <v>0</v>
      </c>
      <c r="Z40" s="382">
        <f t="shared" si="8"/>
        <v>0</v>
      </c>
      <c r="AA40" s="382">
        <f t="shared" si="9"/>
        <v>0</v>
      </c>
      <c r="AB40" s="383">
        <f t="shared" si="10"/>
        <v>0</v>
      </c>
    </row>
    <row r="41" spans="1:28" ht="15">
      <c r="A41" s="294">
        <v>3000</v>
      </c>
      <c r="B41" s="295" t="s">
        <v>154</v>
      </c>
      <c r="C41" s="296">
        <v>2</v>
      </c>
      <c r="D41" s="69">
        <f t="shared" si="3"/>
      </c>
      <c r="E41" s="70" t="str">
        <f t="shared" si="4"/>
        <v>3000 Salgsinntekt, avg. plikt.</v>
      </c>
      <c r="T41" s="379">
        <f t="shared" si="0"/>
        <v>3000</v>
      </c>
      <c r="U41" s="380" t="str">
        <f t="shared" si="1"/>
        <v>Salgsinntekt, avg. plikt.</v>
      </c>
      <c r="V41" s="381">
        <f t="shared" si="2"/>
        <v>2</v>
      </c>
      <c r="W41" s="382">
        <f t="shared" si="5"/>
        <v>0</v>
      </c>
      <c r="X41" s="382">
        <f t="shared" si="6"/>
        <v>0</v>
      </c>
      <c r="Y41" s="383">
        <f t="shared" si="7"/>
        <v>0</v>
      </c>
      <c r="Z41" s="382">
        <f t="shared" si="8"/>
        <v>0</v>
      </c>
      <c r="AA41" s="382">
        <f t="shared" si="9"/>
        <v>0</v>
      </c>
      <c r="AB41" s="383">
        <f t="shared" si="10"/>
        <v>0</v>
      </c>
    </row>
    <row r="42" spans="1:28" ht="15">
      <c r="A42" s="294">
        <v>3100</v>
      </c>
      <c r="B42" s="295" t="s">
        <v>155</v>
      </c>
      <c r="C42" s="296"/>
      <c r="D42" s="69">
        <f t="shared" si="3"/>
      </c>
      <c r="E42" s="70" t="str">
        <f t="shared" si="4"/>
        <v>3100 Salgsinntekt, avg. fri</v>
      </c>
      <c r="T42" s="379">
        <f t="shared" si="0"/>
        <v>3100</v>
      </c>
      <c r="U42" s="380" t="str">
        <f t="shared" si="1"/>
        <v>Salgsinntekt, avg. fri</v>
      </c>
      <c r="V42" s="381">
        <f t="shared" si="2"/>
        <v>0</v>
      </c>
      <c r="W42" s="382">
        <f t="shared" si="5"/>
        <v>0</v>
      </c>
      <c r="X42" s="382">
        <f t="shared" si="6"/>
        <v>0</v>
      </c>
      <c r="Y42" s="383">
        <f t="shared" si="7"/>
        <v>0</v>
      </c>
      <c r="Z42" s="382">
        <f t="shared" si="8"/>
        <v>0</v>
      </c>
      <c r="AA42" s="382">
        <f t="shared" si="9"/>
        <v>0</v>
      </c>
      <c r="AB42" s="383">
        <f t="shared" si="10"/>
        <v>0</v>
      </c>
    </row>
    <row r="43" spans="1:28" ht="15">
      <c r="A43" s="294">
        <v>3620</v>
      </c>
      <c r="B43" s="295" t="s">
        <v>156</v>
      </c>
      <c r="C43" s="296">
        <v>2</v>
      </c>
      <c r="D43" s="69">
        <f t="shared" si="3"/>
      </c>
      <c r="E43" s="70" t="str">
        <f t="shared" si="4"/>
        <v>3620 Andre leieinntekter</v>
      </c>
      <c r="T43" s="379">
        <f t="shared" si="0"/>
        <v>3620</v>
      </c>
      <c r="U43" s="380" t="str">
        <f t="shared" si="1"/>
        <v>Andre leieinntekter</v>
      </c>
      <c r="V43" s="381">
        <f t="shared" si="2"/>
        <v>2</v>
      </c>
      <c r="W43" s="382">
        <f t="shared" si="5"/>
        <v>0</v>
      </c>
      <c r="X43" s="382">
        <f t="shared" si="6"/>
        <v>0</v>
      </c>
      <c r="Y43" s="383">
        <f t="shared" si="7"/>
        <v>0</v>
      </c>
      <c r="Z43" s="382">
        <f t="shared" si="8"/>
        <v>0</v>
      </c>
      <c r="AA43" s="382">
        <f t="shared" si="9"/>
        <v>0</v>
      </c>
      <c r="AB43" s="383">
        <f t="shared" si="10"/>
        <v>0</v>
      </c>
    </row>
    <row r="44" spans="1:28" ht="15">
      <c r="A44" s="294">
        <v>3900</v>
      </c>
      <c r="B44" s="295" t="s">
        <v>157</v>
      </c>
      <c r="C44" s="296">
        <v>2</v>
      </c>
      <c r="D44" s="69">
        <f t="shared" si="3"/>
      </c>
      <c r="E44" s="70" t="str">
        <f t="shared" si="4"/>
        <v>3900 Annen driftsrelatert innt.</v>
      </c>
      <c r="T44" s="379">
        <f t="shared" si="0"/>
        <v>3900</v>
      </c>
      <c r="U44" s="380" t="str">
        <f t="shared" si="1"/>
        <v>Annen driftsrelatert innt.</v>
      </c>
      <c r="V44" s="381">
        <f t="shared" si="2"/>
        <v>2</v>
      </c>
      <c r="W44" s="382">
        <f t="shared" si="5"/>
        <v>0</v>
      </c>
      <c r="X44" s="382">
        <f t="shared" si="6"/>
        <v>0</v>
      </c>
      <c r="Y44" s="383">
        <f t="shared" si="7"/>
        <v>0</v>
      </c>
      <c r="Z44" s="382">
        <f t="shared" si="8"/>
        <v>0</v>
      </c>
      <c r="AA44" s="382">
        <f t="shared" si="9"/>
        <v>0</v>
      </c>
      <c r="AB44" s="383">
        <f t="shared" si="10"/>
        <v>0</v>
      </c>
    </row>
    <row r="45" spans="1:28" ht="15">
      <c r="A45" s="294">
        <v>4000</v>
      </c>
      <c r="B45" s="295" t="s">
        <v>158</v>
      </c>
      <c r="C45" s="296">
        <v>1</v>
      </c>
      <c r="D45" s="69">
        <f t="shared" si="3"/>
      </c>
      <c r="E45" s="70" t="str">
        <f t="shared" si="4"/>
        <v>4000 Innkjøp råvarer og halvf.</v>
      </c>
      <c r="T45" s="379">
        <f t="shared" si="0"/>
        <v>4000</v>
      </c>
      <c r="U45" s="380" t="str">
        <f t="shared" si="1"/>
        <v>Innkjøp råvarer og halvf.</v>
      </c>
      <c r="V45" s="381">
        <f t="shared" si="2"/>
        <v>1</v>
      </c>
      <c r="W45" s="382">
        <f t="shared" si="5"/>
        <v>0</v>
      </c>
      <c r="X45" s="382">
        <f t="shared" si="6"/>
        <v>0</v>
      </c>
      <c r="Y45" s="383">
        <f t="shared" si="7"/>
        <v>0</v>
      </c>
      <c r="Z45" s="382">
        <f t="shared" si="8"/>
        <v>0</v>
      </c>
      <c r="AA45" s="382">
        <f t="shared" si="9"/>
        <v>0</v>
      </c>
      <c r="AB45" s="383">
        <f t="shared" si="10"/>
        <v>0</v>
      </c>
    </row>
    <row r="46" spans="1:28" ht="15">
      <c r="A46" s="294">
        <v>4060</v>
      </c>
      <c r="B46" s="295" t="s">
        <v>159</v>
      </c>
      <c r="C46" s="296">
        <v>1</v>
      </c>
      <c r="D46" s="69">
        <f t="shared" si="3"/>
      </c>
      <c r="E46" s="70" t="str">
        <f t="shared" si="4"/>
        <v>4060 Frakt, toll og spedisjon</v>
      </c>
      <c r="T46" s="379">
        <f t="shared" si="0"/>
        <v>4060</v>
      </c>
      <c r="U46" s="380" t="str">
        <f t="shared" si="1"/>
        <v>Frakt, toll og spedisjon</v>
      </c>
      <c r="V46" s="381">
        <f t="shared" si="2"/>
        <v>1</v>
      </c>
      <c r="W46" s="382">
        <f t="shared" si="5"/>
        <v>0</v>
      </c>
      <c r="X46" s="382">
        <f t="shared" si="6"/>
        <v>0</v>
      </c>
      <c r="Y46" s="383">
        <f t="shared" si="7"/>
        <v>0</v>
      </c>
      <c r="Z46" s="382">
        <f t="shared" si="8"/>
        <v>0</v>
      </c>
      <c r="AA46" s="382">
        <f t="shared" si="9"/>
        <v>0</v>
      </c>
      <c r="AB46" s="383">
        <f t="shared" si="10"/>
        <v>0</v>
      </c>
    </row>
    <row r="47" spans="1:28" ht="15">
      <c r="A47" s="294">
        <v>4090</v>
      </c>
      <c r="B47" s="295" t="s">
        <v>160</v>
      </c>
      <c r="C47" s="296"/>
      <c r="D47" s="69">
        <f t="shared" si="3"/>
      </c>
      <c r="E47" s="70" t="str">
        <f t="shared" si="4"/>
        <v>4090 Beholdn. endr. råvarer</v>
      </c>
      <c r="T47" s="379">
        <f t="shared" si="0"/>
        <v>4090</v>
      </c>
      <c r="U47" s="380" t="str">
        <f t="shared" si="1"/>
        <v>Beholdn. endr. råvarer</v>
      </c>
      <c r="V47" s="381">
        <f t="shared" si="2"/>
        <v>0</v>
      </c>
      <c r="W47" s="382">
        <f t="shared" si="5"/>
        <v>0</v>
      </c>
      <c r="X47" s="382">
        <f t="shared" si="6"/>
        <v>0</v>
      </c>
      <c r="Y47" s="383">
        <f t="shared" si="7"/>
        <v>0</v>
      </c>
      <c r="Z47" s="382">
        <f t="shared" si="8"/>
        <v>0</v>
      </c>
      <c r="AA47" s="382">
        <f t="shared" si="9"/>
        <v>0</v>
      </c>
      <c r="AB47" s="383">
        <f t="shared" si="10"/>
        <v>0</v>
      </c>
    </row>
    <row r="48" spans="1:28" ht="15">
      <c r="A48" s="294">
        <v>4190</v>
      </c>
      <c r="B48" s="295" t="s">
        <v>161</v>
      </c>
      <c r="C48" s="296"/>
      <c r="D48" s="69">
        <f t="shared" si="3"/>
      </c>
      <c r="E48" s="70" t="str">
        <f t="shared" si="4"/>
        <v>4190 Beh. endr. varer u. tilv.</v>
      </c>
      <c r="T48" s="379">
        <f t="shared" si="0"/>
        <v>4190</v>
      </c>
      <c r="U48" s="380" t="str">
        <f t="shared" si="1"/>
        <v>Beh. endr. varer u. tilv.</v>
      </c>
      <c r="V48" s="381">
        <f t="shared" si="2"/>
        <v>0</v>
      </c>
      <c r="W48" s="382">
        <f t="shared" si="5"/>
        <v>0</v>
      </c>
      <c r="X48" s="382">
        <f t="shared" si="6"/>
        <v>0</v>
      </c>
      <c r="Y48" s="383">
        <f t="shared" si="7"/>
        <v>0</v>
      </c>
      <c r="Z48" s="382">
        <f t="shared" si="8"/>
        <v>0</v>
      </c>
      <c r="AA48" s="382">
        <f t="shared" si="9"/>
        <v>0</v>
      </c>
      <c r="AB48" s="383">
        <f t="shared" si="10"/>
        <v>0</v>
      </c>
    </row>
    <row r="49" spans="1:28" ht="15">
      <c r="A49" s="294">
        <v>4290</v>
      </c>
      <c r="B49" s="295" t="s">
        <v>162</v>
      </c>
      <c r="C49" s="296"/>
      <c r="D49" s="69">
        <f t="shared" si="3"/>
      </c>
      <c r="E49" s="70" t="str">
        <f t="shared" si="4"/>
        <v>4290 Beh. endr. ferdige varer</v>
      </c>
      <c r="T49" s="379">
        <f t="shared" si="0"/>
        <v>4290</v>
      </c>
      <c r="U49" s="380" t="str">
        <f t="shared" si="1"/>
        <v>Beh. endr. ferdige varer</v>
      </c>
      <c r="V49" s="381">
        <f t="shared" si="2"/>
        <v>0</v>
      </c>
      <c r="W49" s="382">
        <f t="shared" si="5"/>
        <v>0</v>
      </c>
      <c r="X49" s="382">
        <f t="shared" si="6"/>
        <v>0</v>
      </c>
      <c r="Y49" s="383">
        <f t="shared" si="7"/>
        <v>0</v>
      </c>
      <c r="Z49" s="382">
        <f t="shared" si="8"/>
        <v>0</v>
      </c>
      <c r="AA49" s="382">
        <f t="shared" si="9"/>
        <v>0</v>
      </c>
      <c r="AB49" s="383">
        <f t="shared" si="10"/>
        <v>0</v>
      </c>
    </row>
    <row r="50" spans="1:28" ht="15">
      <c r="A50" s="294">
        <v>4300</v>
      </c>
      <c r="B50" s="295" t="s">
        <v>163</v>
      </c>
      <c r="C50" s="296">
        <v>1</v>
      </c>
      <c r="D50" s="69">
        <f t="shared" si="3"/>
      </c>
      <c r="E50" s="70" t="str">
        <f t="shared" si="4"/>
        <v>4300 Innkj. varer for vid. salg</v>
      </c>
      <c r="T50" s="379">
        <f t="shared" si="0"/>
        <v>4300</v>
      </c>
      <c r="U50" s="380" t="str">
        <f t="shared" si="1"/>
        <v>Innkj. varer for vid. salg</v>
      </c>
      <c r="V50" s="381">
        <f t="shared" si="2"/>
        <v>1</v>
      </c>
      <c r="W50" s="382">
        <f t="shared" si="5"/>
        <v>0</v>
      </c>
      <c r="X50" s="382">
        <f t="shared" si="6"/>
        <v>0</v>
      </c>
      <c r="Y50" s="383">
        <f t="shared" si="7"/>
        <v>0</v>
      </c>
      <c r="Z50" s="382">
        <f t="shared" si="8"/>
        <v>0</v>
      </c>
      <c r="AA50" s="382">
        <f t="shared" si="9"/>
        <v>0</v>
      </c>
      <c r="AB50" s="383">
        <f t="shared" si="10"/>
        <v>0</v>
      </c>
    </row>
    <row r="51" spans="1:28" ht="15">
      <c r="A51" s="294">
        <v>4390</v>
      </c>
      <c r="B51" s="295" t="s">
        <v>164</v>
      </c>
      <c r="C51" s="296"/>
      <c r="D51" s="69">
        <f t="shared" si="3"/>
      </c>
      <c r="E51" s="70" t="str">
        <f t="shared" si="4"/>
        <v>4390 Beh. endr. varer v.salg</v>
      </c>
      <c r="T51" s="379">
        <f t="shared" si="0"/>
        <v>4390</v>
      </c>
      <c r="U51" s="380" t="str">
        <f t="shared" si="1"/>
        <v>Beh. endr. varer v.salg</v>
      </c>
      <c r="V51" s="381">
        <f t="shared" si="2"/>
        <v>0</v>
      </c>
      <c r="W51" s="382">
        <f t="shared" si="5"/>
        <v>0</v>
      </c>
      <c r="X51" s="382">
        <f t="shared" si="6"/>
        <v>0</v>
      </c>
      <c r="Y51" s="383">
        <f t="shared" si="7"/>
        <v>0</v>
      </c>
      <c r="Z51" s="382">
        <f t="shared" si="8"/>
        <v>0</v>
      </c>
      <c r="AA51" s="382">
        <f t="shared" si="9"/>
        <v>0</v>
      </c>
      <c r="AB51" s="383">
        <f t="shared" si="10"/>
        <v>0</v>
      </c>
    </row>
    <row r="52" spans="1:28" ht="15">
      <c r="A52" s="294">
        <v>5000</v>
      </c>
      <c r="B52" s="295" t="s">
        <v>165</v>
      </c>
      <c r="C52" s="296"/>
      <c r="D52" s="69">
        <f t="shared" si="3"/>
      </c>
      <c r="E52" s="70" t="str">
        <f t="shared" si="4"/>
        <v>5000 Lønn till ansatte</v>
      </c>
      <c r="T52" s="379">
        <f t="shared" si="0"/>
        <v>5000</v>
      </c>
      <c r="U52" s="380" t="str">
        <f t="shared" si="1"/>
        <v>Lønn till ansatte</v>
      </c>
      <c r="V52" s="381">
        <f t="shared" si="2"/>
        <v>0</v>
      </c>
      <c r="W52" s="382">
        <f t="shared" si="5"/>
        <v>0</v>
      </c>
      <c r="X52" s="382">
        <f t="shared" si="6"/>
        <v>0</v>
      </c>
      <c r="Y52" s="383">
        <f t="shared" si="7"/>
        <v>0</v>
      </c>
      <c r="Z52" s="382">
        <f t="shared" si="8"/>
        <v>0</v>
      </c>
      <c r="AA52" s="382">
        <f t="shared" si="9"/>
        <v>0</v>
      </c>
      <c r="AB52" s="383">
        <f t="shared" si="10"/>
        <v>0</v>
      </c>
    </row>
    <row r="53" spans="1:28" ht="15">
      <c r="A53" s="294">
        <v>5100</v>
      </c>
      <c r="B53" s="295" t="s">
        <v>227</v>
      </c>
      <c r="C53" s="296"/>
      <c r="D53" s="69">
        <f t="shared" si="3"/>
      </c>
      <c r="E53" s="70" t="str">
        <f t="shared" si="4"/>
        <v>5100 Ferielønn</v>
      </c>
      <c r="T53" s="379">
        <f t="shared" si="0"/>
        <v>5100</v>
      </c>
      <c r="U53" s="380" t="str">
        <f t="shared" si="1"/>
        <v>Ferielønn</v>
      </c>
      <c r="V53" s="381">
        <f t="shared" si="2"/>
        <v>0</v>
      </c>
      <c r="W53" s="382">
        <f t="shared" si="5"/>
        <v>0</v>
      </c>
      <c r="X53" s="382">
        <f t="shared" si="6"/>
        <v>0</v>
      </c>
      <c r="Y53" s="383">
        <f t="shared" si="7"/>
        <v>0</v>
      </c>
      <c r="Z53" s="382">
        <f t="shared" si="8"/>
        <v>0</v>
      </c>
      <c r="AA53" s="382">
        <f t="shared" si="9"/>
        <v>0</v>
      </c>
      <c r="AB53" s="383">
        <f t="shared" si="10"/>
        <v>0</v>
      </c>
    </row>
    <row r="54" spans="1:28" ht="15">
      <c r="A54" s="294">
        <v>5400</v>
      </c>
      <c r="B54" s="295" t="s">
        <v>166</v>
      </c>
      <c r="C54" s="296"/>
      <c r="D54" s="69">
        <f t="shared" si="3"/>
      </c>
      <c r="E54" s="70" t="str">
        <f t="shared" si="4"/>
        <v>5400 Arbeidsgiveravgift</v>
      </c>
      <c r="T54" s="379">
        <f t="shared" si="0"/>
        <v>5400</v>
      </c>
      <c r="U54" s="380" t="str">
        <f t="shared" si="1"/>
        <v>Arbeidsgiveravgift</v>
      </c>
      <c r="V54" s="381">
        <f t="shared" si="2"/>
        <v>0</v>
      </c>
      <c r="W54" s="382">
        <f t="shared" si="5"/>
        <v>0</v>
      </c>
      <c r="X54" s="382">
        <f t="shared" si="6"/>
        <v>0</v>
      </c>
      <c r="Y54" s="383">
        <f t="shared" si="7"/>
        <v>0</v>
      </c>
      <c r="Z54" s="382">
        <f t="shared" si="8"/>
        <v>0</v>
      </c>
      <c r="AA54" s="382">
        <f t="shared" si="9"/>
        <v>0</v>
      </c>
      <c r="AB54" s="383">
        <f t="shared" si="10"/>
        <v>0</v>
      </c>
    </row>
    <row r="55" spans="1:28" ht="15">
      <c r="A55" s="294">
        <v>5900</v>
      </c>
      <c r="B55" s="295" t="s">
        <v>167</v>
      </c>
      <c r="C55" s="296"/>
      <c r="D55" s="69">
        <f t="shared" si="3"/>
      </c>
      <c r="E55" s="70" t="str">
        <f t="shared" si="4"/>
        <v>5900 Gaver til ansatte</v>
      </c>
      <c r="T55" s="379">
        <f t="shared" si="0"/>
        <v>5900</v>
      </c>
      <c r="U55" s="380" t="str">
        <f t="shared" si="1"/>
        <v>Gaver til ansatte</v>
      </c>
      <c r="V55" s="381">
        <f t="shared" si="2"/>
        <v>0</v>
      </c>
      <c r="W55" s="382">
        <f t="shared" si="5"/>
        <v>0</v>
      </c>
      <c r="X55" s="382">
        <f t="shared" si="6"/>
        <v>0</v>
      </c>
      <c r="Y55" s="383">
        <f t="shared" si="7"/>
        <v>0</v>
      </c>
      <c r="Z55" s="382">
        <f t="shared" si="8"/>
        <v>0</v>
      </c>
      <c r="AA55" s="382">
        <f t="shared" si="9"/>
        <v>0</v>
      </c>
      <c r="AB55" s="383">
        <f t="shared" si="10"/>
        <v>0</v>
      </c>
    </row>
    <row r="56" spans="1:28" ht="15">
      <c r="A56" s="294">
        <v>5920</v>
      </c>
      <c r="B56" s="295" t="s">
        <v>168</v>
      </c>
      <c r="C56" s="296"/>
      <c r="D56" s="69">
        <f t="shared" si="3"/>
      </c>
      <c r="E56" s="70" t="str">
        <f t="shared" si="4"/>
        <v>5920 Yrkesskadeforsikring</v>
      </c>
      <c r="T56" s="379">
        <f t="shared" si="0"/>
        <v>5920</v>
      </c>
      <c r="U56" s="380" t="str">
        <f t="shared" si="1"/>
        <v>Yrkesskadeforsikring</v>
      </c>
      <c r="V56" s="381">
        <f t="shared" si="2"/>
        <v>0</v>
      </c>
      <c r="W56" s="382">
        <f t="shared" si="5"/>
        <v>0</v>
      </c>
      <c r="X56" s="382">
        <f t="shared" si="6"/>
        <v>0</v>
      </c>
      <c r="Y56" s="383">
        <f t="shared" si="7"/>
        <v>0</v>
      </c>
      <c r="Z56" s="382">
        <f t="shared" si="8"/>
        <v>0</v>
      </c>
      <c r="AA56" s="382">
        <f t="shared" si="9"/>
        <v>0</v>
      </c>
      <c r="AB56" s="383">
        <f t="shared" si="10"/>
        <v>0</v>
      </c>
    </row>
    <row r="57" spans="1:28" ht="15">
      <c r="A57" s="294">
        <v>5990</v>
      </c>
      <c r="B57" s="295" t="s">
        <v>169</v>
      </c>
      <c r="C57" s="296"/>
      <c r="D57" s="69">
        <f t="shared" si="3"/>
      </c>
      <c r="E57" s="70" t="str">
        <f t="shared" si="4"/>
        <v>5990 Annen personalkostn.</v>
      </c>
      <c r="T57" s="379">
        <f t="shared" si="0"/>
        <v>5990</v>
      </c>
      <c r="U57" s="380" t="str">
        <f t="shared" si="1"/>
        <v>Annen personalkostn.</v>
      </c>
      <c r="V57" s="381">
        <f t="shared" si="2"/>
        <v>0</v>
      </c>
      <c r="W57" s="382">
        <f t="shared" si="5"/>
        <v>0</v>
      </c>
      <c r="X57" s="382">
        <f t="shared" si="6"/>
        <v>0</v>
      </c>
      <c r="Y57" s="383">
        <f t="shared" si="7"/>
        <v>0</v>
      </c>
      <c r="Z57" s="382">
        <f t="shared" si="8"/>
        <v>0</v>
      </c>
      <c r="AA57" s="382">
        <f t="shared" si="9"/>
        <v>0</v>
      </c>
      <c r="AB57" s="383">
        <f t="shared" si="10"/>
        <v>0</v>
      </c>
    </row>
    <row r="58" spans="1:28" ht="15">
      <c r="A58" s="294">
        <v>6000</v>
      </c>
      <c r="B58" s="295" t="s">
        <v>170</v>
      </c>
      <c r="C58" s="296"/>
      <c r="D58" s="69">
        <f t="shared" si="3"/>
      </c>
      <c r="E58" s="70" t="str">
        <f t="shared" si="4"/>
        <v>6000 Avskriving bygning</v>
      </c>
      <c r="T58" s="379">
        <f t="shared" si="0"/>
        <v>6000</v>
      </c>
      <c r="U58" s="380" t="str">
        <f t="shared" si="1"/>
        <v>Avskriving bygning</v>
      </c>
      <c r="V58" s="381">
        <f t="shared" si="2"/>
        <v>0</v>
      </c>
      <c r="W58" s="382">
        <f t="shared" si="5"/>
        <v>0</v>
      </c>
      <c r="X58" s="382">
        <f t="shared" si="6"/>
        <v>0</v>
      </c>
      <c r="Y58" s="383">
        <f t="shared" si="7"/>
        <v>0</v>
      </c>
      <c r="Z58" s="382">
        <f t="shared" si="8"/>
        <v>0</v>
      </c>
      <c r="AA58" s="382">
        <f t="shared" si="9"/>
        <v>0</v>
      </c>
      <c r="AB58" s="383">
        <f t="shared" si="10"/>
        <v>0</v>
      </c>
    </row>
    <row r="59" spans="1:28" ht="15">
      <c r="A59" s="294">
        <v>6010</v>
      </c>
      <c r="B59" s="295" t="s">
        <v>171</v>
      </c>
      <c r="C59" s="296"/>
      <c r="D59" s="69">
        <f t="shared" si="3"/>
      </c>
      <c r="E59" s="70" t="str">
        <f t="shared" si="4"/>
        <v>6010 Avskr. mask. og anlegg</v>
      </c>
      <c r="T59" s="379">
        <f t="shared" si="0"/>
        <v>6010</v>
      </c>
      <c r="U59" s="380" t="str">
        <f t="shared" si="1"/>
        <v>Avskr. mask. og anlegg</v>
      </c>
      <c r="V59" s="381">
        <f t="shared" si="2"/>
        <v>0</v>
      </c>
      <c r="W59" s="382">
        <f t="shared" si="5"/>
        <v>0</v>
      </c>
      <c r="X59" s="382">
        <f t="shared" si="6"/>
        <v>0</v>
      </c>
      <c r="Y59" s="383">
        <f t="shared" si="7"/>
        <v>0</v>
      </c>
      <c r="Z59" s="382">
        <f t="shared" si="8"/>
        <v>0</v>
      </c>
      <c r="AA59" s="382">
        <f t="shared" si="9"/>
        <v>0</v>
      </c>
      <c r="AB59" s="383">
        <f t="shared" si="10"/>
        <v>0</v>
      </c>
    </row>
    <row r="60" spans="1:28" ht="15">
      <c r="A60" s="294">
        <v>6013</v>
      </c>
      <c r="B60" s="295" t="s">
        <v>172</v>
      </c>
      <c r="C60" s="296"/>
      <c r="D60" s="69">
        <f t="shared" si="3"/>
      </c>
      <c r="E60" s="70" t="str">
        <f t="shared" si="4"/>
        <v>6013 Avskriving biler</v>
      </c>
      <c r="T60" s="379">
        <f t="shared" si="0"/>
        <v>6013</v>
      </c>
      <c r="U60" s="380" t="str">
        <f t="shared" si="1"/>
        <v>Avskriving biler</v>
      </c>
      <c r="V60" s="381">
        <f t="shared" si="2"/>
        <v>0</v>
      </c>
      <c r="W60" s="382">
        <f t="shared" si="5"/>
        <v>0</v>
      </c>
      <c r="X60" s="382">
        <f t="shared" si="6"/>
        <v>0</v>
      </c>
      <c r="Y60" s="383">
        <f t="shared" si="7"/>
        <v>0</v>
      </c>
      <c r="Z60" s="382">
        <f t="shared" si="8"/>
        <v>0</v>
      </c>
      <c r="AA60" s="382">
        <f t="shared" si="9"/>
        <v>0</v>
      </c>
      <c r="AB60" s="383">
        <f t="shared" si="10"/>
        <v>0</v>
      </c>
    </row>
    <row r="61" spans="1:28" ht="15">
      <c r="A61" s="294">
        <v>6015</v>
      </c>
      <c r="B61" s="295" t="s">
        <v>173</v>
      </c>
      <c r="C61" s="296"/>
      <c r="D61" s="69">
        <f t="shared" si="3"/>
      </c>
      <c r="E61" s="70" t="str">
        <f t="shared" si="4"/>
        <v>6015 Avskriving inventar</v>
      </c>
      <c r="T61" s="379">
        <f t="shared" si="0"/>
        <v>6015</v>
      </c>
      <c r="U61" s="380" t="str">
        <f t="shared" si="1"/>
        <v>Avskriving inventar</v>
      </c>
      <c r="V61" s="381">
        <f t="shared" si="2"/>
        <v>0</v>
      </c>
      <c r="W61" s="382">
        <f t="shared" si="5"/>
        <v>0</v>
      </c>
      <c r="X61" s="382">
        <f t="shared" si="6"/>
        <v>0</v>
      </c>
      <c r="Y61" s="383">
        <f t="shared" si="7"/>
        <v>0</v>
      </c>
      <c r="Z61" s="382">
        <f t="shared" si="8"/>
        <v>0</v>
      </c>
      <c r="AA61" s="382">
        <f t="shared" si="9"/>
        <v>0</v>
      </c>
      <c r="AB61" s="383">
        <f t="shared" si="10"/>
        <v>0</v>
      </c>
    </row>
    <row r="62" spans="1:28" ht="15">
      <c r="A62" s="294">
        <v>6017</v>
      </c>
      <c r="B62" s="295" t="s">
        <v>174</v>
      </c>
      <c r="C62" s="296"/>
      <c r="D62" s="69">
        <f t="shared" si="3"/>
      </c>
      <c r="E62" s="70" t="str">
        <f t="shared" si="4"/>
        <v>6017 Avskrivning verktøy o.l</v>
      </c>
      <c r="T62" s="379">
        <f t="shared" si="0"/>
        <v>6017</v>
      </c>
      <c r="U62" s="380" t="str">
        <f t="shared" si="1"/>
        <v>Avskrivning verktøy o.l</v>
      </c>
      <c r="V62" s="381">
        <f t="shared" si="2"/>
        <v>0</v>
      </c>
      <c r="W62" s="382">
        <f t="shared" si="5"/>
        <v>0</v>
      </c>
      <c r="X62" s="382">
        <f t="shared" si="6"/>
        <v>0</v>
      </c>
      <c r="Y62" s="383">
        <f t="shared" si="7"/>
        <v>0</v>
      </c>
      <c r="Z62" s="382">
        <f t="shared" si="8"/>
        <v>0</v>
      </c>
      <c r="AA62" s="382">
        <f t="shared" si="9"/>
        <v>0</v>
      </c>
      <c r="AB62" s="383">
        <f t="shared" si="10"/>
        <v>0</v>
      </c>
    </row>
    <row r="63" spans="1:28" ht="15">
      <c r="A63" s="294">
        <v>6100</v>
      </c>
      <c r="B63" s="295" t="s">
        <v>175</v>
      </c>
      <c r="C63" s="296">
        <v>1</v>
      </c>
      <c r="D63" s="69">
        <f t="shared" si="3"/>
      </c>
      <c r="E63" s="70" t="str">
        <f t="shared" si="4"/>
        <v>6100 Frakt o.l ved varefors.</v>
      </c>
      <c r="T63" s="379">
        <f t="shared" si="0"/>
        <v>6100</v>
      </c>
      <c r="U63" s="380" t="str">
        <f t="shared" si="1"/>
        <v>Frakt o.l ved varefors.</v>
      </c>
      <c r="V63" s="381">
        <f t="shared" si="2"/>
        <v>1</v>
      </c>
      <c r="W63" s="382">
        <f t="shared" si="5"/>
        <v>0</v>
      </c>
      <c r="X63" s="382">
        <f t="shared" si="6"/>
        <v>0</v>
      </c>
      <c r="Y63" s="383">
        <f t="shared" si="7"/>
        <v>0</v>
      </c>
      <c r="Z63" s="382">
        <f t="shared" si="8"/>
        <v>0</v>
      </c>
      <c r="AA63" s="382">
        <f t="shared" si="9"/>
        <v>0</v>
      </c>
      <c r="AB63" s="383">
        <f t="shared" si="10"/>
        <v>0</v>
      </c>
    </row>
    <row r="64" spans="1:28" ht="15">
      <c r="A64" s="294">
        <v>6300</v>
      </c>
      <c r="B64" s="295" t="s">
        <v>176</v>
      </c>
      <c r="C64" s="106"/>
      <c r="D64" s="69">
        <f t="shared" si="3"/>
      </c>
      <c r="E64" s="70" t="str">
        <f t="shared" si="4"/>
        <v>6300 Leie lokaler</v>
      </c>
      <c r="T64" s="379">
        <f t="shared" si="0"/>
        <v>6300</v>
      </c>
      <c r="U64" s="380" t="str">
        <f t="shared" si="1"/>
        <v>Leie lokaler</v>
      </c>
      <c r="V64" s="381">
        <f t="shared" si="2"/>
        <v>0</v>
      </c>
      <c r="W64" s="382">
        <f t="shared" si="5"/>
        <v>0</v>
      </c>
      <c r="X64" s="382">
        <f t="shared" si="6"/>
        <v>0</v>
      </c>
      <c r="Y64" s="383">
        <f t="shared" si="7"/>
        <v>0</v>
      </c>
      <c r="Z64" s="382">
        <f t="shared" si="8"/>
        <v>0</v>
      </c>
      <c r="AA64" s="382">
        <f t="shared" si="9"/>
        <v>0</v>
      </c>
      <c r="AB64" s="383">
        <f t="shared" si="10"/>
        <v>0</v>
      </c>
    </row>
    <row r="65" spans="1:28" ht="15">
      <c r="A65" s="294">
        <v>6340</v>
      </c>
      <c r="B65" s="295" t="s">
        <v>177</v>
      </c>
      <c r="C65" s="106">
        <v>1</v>
      </c>
      <c r="D65" s="69">
        <f t="shared" si="3"/>
      </c>
      <c r="E65" s="70" t="str">
        <f t="shared" si="4"/>
        <v>6340 Lys, varme</v>
      </c>
      <c r="T65" s="384">
        <f>A65</f>
        <v>6340</v>
      </c>
      <c r="U65" s="385" t="str">
        <f>B65</f>
        <v>Lys, varme</v>
      </c>
      <c r="V65" s="386">
        <f>C65</f>
        <v>1</v>
      </c>
      <c r="W65" s="387">
        <f t="shared" si="5"/>
        <v>0</v>
      </c>
      <c r="X65" s="387">
        <f t="shared" si="6"/>
        <v>0</v>
      </c>
      <c r="Y65" s="388">
        <f t="shared" si="7"/>
        <v>0</v>
      </c>
      <c r="Z65" s="387">
        <f t="shared" si="8"/>
        <v>0</v>
      </c>
      <c r="AA65" s="387">
        <f t="shared" si="9"/>
        <v>0</v>
      </c>
      <c r="AB65" s="388">
        <f t="shared" si="10"/>
        <v>0</v>
      </c>
    </row>
    <row r="66" spans="1:22" ht="15">
      <c r="A66" s="294">
        <v>6500</v>
      </c>
      <c r="B66" s="470" t="s">
        <v>226</v>
      </c>
      <c r="C66" s="296">
        <v>1</v>
      </c>
      <c r="D66" s="69">
        <f t="shared" si="3"/>
      </c>
      <c r="E66" s="70" t="str">
        <f t="shared" si="4"/>
        <v>6500 Verktøy mv ikke akt.</v>
      </c>
      <c r="T66" s="68"/>
      <c r="U66" s="68"/>
      <c r="V66" s="68"/>
    </row>
    <row r="67" spans="1:22" ht="15">
      <c r="A67" s="294">
        <v>6620</v>
      </c>
      <c r="B67" s="295" t="s">
        <v>178</v>
      </c>
      <c r="C67" s="296">
        <v>1</v>
      </c>
      <c r="D67" s="69">
        <f t="shared" si="3"/>
      </c>
      <c r="E67" s="70" t="str">
        <f t="shared" si="4"/>
        <v>6620 Rep. og vedlikeh. utstyr</v>
      </c>
      <c r="T67" s="68"/>
      <c r="U67" s="68"/>
      <c r="V67" s="68"/>
    </row>
    <row r="68" spans="1:22" ht="15">
      <c r="A68" s="294">
        <v>6700</v>
      </c>
      <c r="B68" s="295" t="s">
        <v>179</v>
      </c>
      <c r="C68" s="296">
        <v>1</v>
      </c>
      <c r="D68" s="69">
        <f t="shared" si="3"/>
      </c>
      <c r="E68" s="70" t="str">
        <f t="shared" si="4"/>
        <v>6700 Revisjon-, regnsk. hon.</v>
      </c>
      <c r="T68" s="68"/>
      <c r="U68" s="68"/>
      <c r="V68" s="68"/>
    </row>
    <row r="69" spans="1:22" ht="15">
      <c r="A69" s="294">
        <v>6800</v>
      </c>
      <c r="B69" s="295" t="s">
        <v>180</v>
      </c>
      <c r="C69" s="296">
        <v>1</v>
      </c>
      <c r="D69" s="69">
        <f t="shared" si="3"/>
      </c>
      <c r="E69" s="70" t="str">
        <f t="shared" si="4"/>
        <v>6800 Kontorrekvisita</v>
      </c>
      <c r="T69" s="68"/>
      <c r="U69" s="68"/>
      <c r="V69" s="68"/>
    </row>
    <row r="70" spans="1:22" ht="15">
      <c r="A70" s="294">
        <v>6900</v>
      </c>
      <c r="B70" s="295" t="s">
        <v>181</v>
      </c>
      <c r="C70" s="296">
        <v>1</v>
      </c>
      <c r="D70" s="69">
        <f aca="true" t="shared" si="11" ref="D70:D133">IF(C70=2,"",IF(C70=1,"",IF(C70=3,"",IF(C70="","","Mva-koden må skrives slik: 1, 2 eller 3. (inng. mva, inng. mva/invest. avgift, utg.mva)"))))</f>
      </c>
      <c r="E70" s="70" t="str">
        <f aca="true" t="shared" si="12" ref="E70:E133">A70&amp;" "&amp;B70</f>
        <v>6900 Telefon</v>
      </c>
      <c r="T70" s="68"/>
      <c r="U70" s="68"/>
      <c r="V70" s="68"/>
    </row>
    <row r="71" spans="1:22" ht="15">
      <c r="A71" s="294">
        <v>6940</v>
      </c>
      <c r="B71" s="295" t="s">
        <v>182</v>
      </c>
      <c r="C71" s="296">
        <v>1</v>
      </c>
      <c r="D71" s="69">
        <f t="shared" si="11"/>
      </c>
      <c r="E71" s="70" t="str">
        <f t="shared" si="12"/>
        <v>6940 Porto</v>
      </c>
      <c r="T71" s="68"/>
      <c r="U71" s="68"/>
      <c r="V71" s="68"/>
    </row>
    <row r="72" spans="1:22" ht="15">
      <c r="A72" s="294">
        <v>7000</v>
      </c>
      <c r="B72" s="295" t="s">
        <v>183</v>
      </c>
      <c r="C72" s="296">
        <v>1</v>
      </c>
      <c r="D72" s="69">
        <f t="shared" si="11"/>
      </c>
      <c r="E72" s="70" t="str">
        <f t="shared" si="12"/>
        <v>7000 Bensin</v>
      </c>
      <c r="T72" s="68"/>
      <c r="U72" s="68"/>
      <c r="V72" s="68"/>
    </row>
    <row r="73" spans="1:22" ht="15">
      <c r="A73" s="294">
        <v>7005</v>
      </c>
      <c r="B73" s="295" t="s">
        <v>184</v>
      </c>
      <c r="C73" s="296">
        <v>1</v>
      </c>
      <c r="D73" s="69">
        <f t="shared" si="11"/>
      </c>
      <c r="E73" s="70" t="str">
        <f t="shared" si="12"/>
        <v>7005 Diesel</v>
      </c>
      <c r="T73" s="68"/>
      <c r="U73" s="68"/>
      <c r="V73" s="68"/>
    </row>
    <row r="74" spans="1:22" ht="15">
      <c r="A74" s="294">
        <v>7020</v>
      </c>
      <c r="B74" s="295" t="s">
        <v>185</v>
      </c>
      <c r="C74" s="106">
        <v>1</v>
      </c>
      <c r="D74" s="69">
        <f t="shared" si="11"/>
      </c>
      <c r="E74" s="70" t="str">
        <f t="shared" si="12"/>
        <v>7020 Vedlikehold transportm.</v>
      </c>
      <c r="T74" s="68"/>
      <c r="U74" s="68"/>
      <c r="V74" s="68"/>
    </row>
    <row r="75" spans="1:22" ht="15">
      <c r="A75" s="294">
        <v>7040</v>
      </c>
      <c r="B75" s="295" t="s">
        <v>186</v>
      </c>
      <c r="C75" s="296"/>
      <c r="D75" s="69">
        <f t="shared" si="11"/>
      </c>
      <c r="E75" s="70" t="str">
        <f t="shared" si="12"/>
        <v>7040 Forsikring transportm.</v>
      </c>
      <c r="T75" s="68"/>
      <c r="U75" s="68"/>
      <c r="V75" s="68"/>
    </row>
    <row r="76" spans="1:22" ht="15">
      <c r="A76" s="294">
        <v>7300</v>
      </c>
      <c r="B76" s="295" t="s">
        <v>187</v>
      </c>
      <c r="C76" s="296">
        <v>1</v>
      </c>
      <c r="D76" s="69">
        <f t="shared" si="11"/>
      </c>
      <c r="E76" s="70" t="str">
        <f t="shared" si="12"/>
        <v>7300 Salgskostnad</v>
      </c>
      <c r="T76" s="68"/>
      <c r="U76" s="68"/>
      <c r="V76" s="68"/>
    </row>
    <row r="77" spans="1:22" ht="15">
      <c r="A77" s="294">
        <v>7320</v>
      </c>
      <c r="B77" s="295" t="s">
        <v>188</v>
      </c>
      <c r="C77" s="296">
        <v>1</v>
      </c>
      <c r="D77" s="69">
        <f t="shared" si="11"/>
      </c>
      <c r="E77" s="70" t="str">
        <f t="shared" si="12"/>
        <v>7320 Reklamekostnad</v>
      </c>
      <c r="T77" s="68"/>
      <c r="U77" s="68"/>
      <c r="V77" s="68"/>
    </row>
    <row r="78" spans="1:22" ht="15">
      <c r="A78" s="294">
        <v>7400</v>
      </c>
      <c r="B78" s="295" t="s">
        <v>189</v>
      </c>
      <c r="C78" s="296"/>
      <c r="D78" s="69">
        <f t="shared" si="11"/>
      </c>
      <c r="E78" s="70" t="str">
        <f t="shared" si="12"/>
        <v>7400 Kontingent, fradragsb.</v>
      </c>
      <c r="T78" s="68"/>
      <c r="U78" s="68"/>
      <c r="V78" s="68"/>
    </row>
    <row r="79" spans="1:5" ht="15">
      <c r="A79" s="294">
        <v>7500</v>
      </c>
      <c r="B79" s="295" t="s">
        <v>190</v>
      </c>
      <c r="C79" s="296"/>
      <c r="D79" s="69">
        <f t="shared" si="11"/>
      </c>
      <c r="E79" s="70" t="str">
        <f t="shared" si="12"/>
        <v>7500 Forsikring</v>
      </c>
    </row>
    <row r="80" spans="1:5" ht="15">
      <c r="A80" s="294">
        <v>7790</v>
      </c>
      <c r="B80" s="295" t="s">
        <v>191</v>
      </c>
      <c r="C80" s="296">
        <v>1</v>
      </c>
      <c r="D80" s="69">
        <f t="shared" si="11"/>
      </c>
      <c r="E80" s="70" t="str">
        <f t="shared" si="12"/>
        <v>7790 Annen kostnad</v>
      </c>
    </row>
    <row r="81" spans="1:5" ht="15">
      <c r="A81" s="294">
        <v>7830</v>
      </c>
      <c r="B81" s="295" t="s">
        <v>192</v>
      </c>
      <c r="C81" s="296">
        <v>2</v>
      </c>
      <c r="D81" s="69">
        <f t="shared" si="11"/>
      </c>
      <c r="E81" s="70" t="str">
        <f t="shared" si="12"/>
        <v>7830 Tap på fordringer</v>
      </c>
    </row>
    <row r="82" spans="1:5" ht="15">
      <c r="A82" s="294">
        <v>8050</v>
      </c>
      <c r="B82" s="295" t="s">
        <v>193</v>
      </c>
      <c r="C82" s="296"/>
      <c r="D82" s="69">
        <f t="shared" si="11"/>
      </c>
      <c r="E82" s="70" t="str">
        <f t="shared" si="12"/>
        <v>8050 Renteinntekt</v>
      </c>
    </row>
    <row r="83" spans="1:5" ht="15">
      <c r="A83" s="294">
        <v>8150</v>
      </c>
      <c r="B83" s="295" t="s">
        <v>194</v>
      </c>
      <c r="C83" s="296"/>
      <c r="D83" s="69">
        <f t="shared" si="11"/>
      </c>
      <c r="E83" s="70" t="str">
        <f t="shared" si="12"/>
        <v>8150 Rentekostnad</v>
      </c>
    </row>
    <row r="84" spans="1:5" ht="15">
      <c r="A84" s="294">
        <v>8300</v>
      </c>
      <c r="B84" s="295" t="s">
        <v>195</v>
      </c>
      <c r="C84" s="296"/>
      <c r="D84" s="69">
        <f t="shared" si="11"/>
      </c>
      <c r="E84" s="70" t="str">
        <f t="shared" si="12"/>
        <v>8300 Betalbar skatt ord. res.</v>
      </c>
    </row>
    <row r="85" spans="1:5" ht="15">
      <c r="A85" s="294">
        <v>8490</v>
      </c>
      <c r="B85" s="295" t="s">
        <v>56</v>
      </c>
      <c r="C85" s="296"/>
      <c r="D85" s="69">
        <f t="shared" si="11"/>
      </c>
      <c r="E85" s="70" t="str">
        <f t="shared" si="12"/>
        <v>8490 Ekstraordinær inntekt</v>
      </c>
    </row>
    <row r="86" spans="1:5" ht="15">
      <c r="A86" s="294">
        <v>8590</v>
      </c>
      <c r="B86" s="295" t="s">
        <v>57</v>
      </c>
      <c r="C86" s="296"/>
      <c r="D86" s="69">
        <f t="shared" si="11"/>
      </c>
      <c r="E86" s="70" t="str">
        <f t="shared" si="12"/>
        <v>8590 Ekstraordinær kostnad</v>
      </c>
    </row>
    <row r="87" spans="1:5" ht="15">
      <c r="A87" s="294">
        <v>8600</v>
      </c>
      <c r="B87" s="295" t="s">
        <v>196</v>
      </c>
      <c r="C87" s="296"/>
      <c r="D87" s="69">
        <f t="shared" si="11"/>
      </c>
      <c r="E87" s="70" t="str">
        <f t="shared" si="12"/>
        <v>8600 Bet. b. sk. ekstraord. r.</v>
      </c>
    </row>
    <row r="88" spans="1:5" ht="15">
      <c r="A88" s="294">
        <v>8920</v>
      </c>
      <c r="B88" s="295" t="s">
        <v>150</v>
      </c>
      <c r="C88" s="296"/>
      <c r="D88" s="69">
        <f t="shared" si="11"/>
      </c>
      <c r="E88" s="70" t="str">
        <f t="shared" si="12"/>
        <v>8920 Avsatt utbytte</v>
      </c>
    </row>
    <row r="89" spans="1:5" ht="15">
      <c r="A89" s="294">
        <v>8960</v>
      </c>
      <c r="B89" s="295" t="s">
        <v>197</v>
      </c>
      <c r="C89" s="296"/>
      <c r="D89" s="69">
        <f t="shared" si="11"/>
      </c>
      <c r="E89" s="70" t="str">
        <f t="shared" si="12"/>
        <v>8960 Overf. a. egenkapital</v>
      </c>
    </row>
    <row r="90" spans="1:5" ht="15">
      <c r="A90" s="294">
        <v>8990</v>
      </c>
      <c r="B90" s="295" t="s">
        <v>198</v>
      </c>
      <c r="C90" s="296"/>
      <c r="D90" s="69">
        <f t="shared" si="11"/>
      </c>
      <c r="E90" s="70" t="str">
        <f t="shared" si="12"/>
        <v>8990 Udekket tap</v>
      </c>
    </row>
    <row r="91" spans="1:5" ht="15">
      <c r="A91" s="294">
        <v>15001</v>
      </c>
      <c r="B91" s="295" t="s">
        <v>220</v>
      </c>
      <c r="C91" s="296"/>
      <c r="D91" s="69">
        <f t="shared" si="11"/>
      </c>
      <c r="E91" s="70" t="str">
        <f t="shared" si="12"/>
        <v>15001 Nilsen Bakervarer AS</v>
      </c>
    </row>
    <row r="92" spans="1:5" ht="15">
      <c r="A92" s="294">
        <v>15002</v>
      </c>
      <c r="B92" s="295" t="s">
        <v>221</v>
      </c>
      <c r="C92" s="296"/>
      <c r="D92" s="69">
        <f t="shared" si="11"/>
      </c>
      <c r="E92" s="70" t="str">
        <f t="shared" si="12"/>
        <v>15002 Budservice AS</v>
      </c>
    </row>
    <row r="93" spans="1:5" ht="15">
      <c r="A93" s="294">
        <v>15009</v>
      </c>
      <c r="B93" s="295" t="s">
        <v>199</v>
      </c>
      <c r="C93" s="296"/>
      <c r="D93" s="69">
        <f t="shared" si="11"/>
      </c>
      <c r="E93" s="70" t="str">
        <f t="shared" si="12"/>
        <v>15009 Diverse kunder</v>
      </c>
    </row>
    <row r="94" spans="1:5" ht="15">
      <c r="A94" s="294">
        <v>24001</v>
      </c>
      <c r="B94" s="295" t="s">
        <v>223</v>
      </c>
      <c r="C94" s="296"/>
      <c r="D94" s="69">
        <f t="shared" si="11"/>
      </c>
      <c r="E94" s="70" t="str">
        <f t="shared" si="12"/>
        <v>24001 Autopart AS</v>
      </c>
    </row>
    <row r="95" spans="1:5" ht="15">
      <c r="A95" s="294">
        <v>24002</v>
      </c>
      <c r="B95" s="295" t="s">
        <v>222</v>
      </c>
      <c r="C95" s="296"/>
      <c r="D95" s="69">
        <f t="shared" si="11"/>
      </c>
      <c r="E95" s="70" t="str">
        <f t="shared" si="12"/>
        <v>24002 Biltilbehør AS</v>
      </c>
    </row>
    <row r="96" spans="1:5" ht="15">
      <c r="A96" s="294">
        <v>24099</v>
      </c>
      <c r="B96" s="295" t="s">
        <v>200</v>
      </c>
      <c r="C96" s="296"/>
      <c r="D96" s="69">
        <f t="shared" si="11"/>
      </c>
      <c r="E96" s="70" t="str">
        <f t="shared" si="12"/>
        <v>24099 Diverse leverandører</v>
      </c>
    </row>
    <row r="97" spans="1:5" ht="15">
      <c r="A97" s="294"/>
      <c r="B97" s="295"/>
      <c r="C97" s="296"/>
      <c r="D97" s="69">
        <f t="shared" si="11"/>
      </c>
      <c r="E97" s="70" t="str">
        <f t="shared" si="12"/>
        <v> </v>
      </c>
    </row>
    <row r="98" spans="1:5" ht="15">
      <c r="A98" s="294"/>
      <c r="B98" s="295"/>
      <c r="C98" s="296"/>
      <c r="D98" s="69">
        <f t="shared" si="11"/>
      </c>
      <c r="E98" s="70" t="str">
        <f t="shared" si="12"/>
        <v> </v>
      </c>
    </row>
    <row r="99" spans="1:5" ht="15">
      <c r="A99" s="294"/>
      <c r="B99" s="295"/>
      <c r="C99" s="296"/>
      <c r="D99" s="69">
        <f t="shared" si="11"/>
      </c>
      <c r="E99" s="70" t="str">
        <f t="shared" si="12"/>
        <v> </v>
      </c>
    </row>
    <row r="100" spans="1:5" ht="15">
      <c r="A100" s="294"/>
      <c r="B100" s="295"/>
      <c r="C100" s="296"/>
      <c r="D100" s="69">
        <f t="shared" si="11"/>
      </c>
      <c r="E100" s="70" t="str">
        <f t="shared" si="12"/>
        <v> </v>
      </c>
    </row>
    <row r="101" spans="1:5" ht="15">
      <c r="A101" s="294"/>
      <c r="B101" s="295"/>
      <c r="C101" s="296"/>
      <c r="D101" s="69">
        <f t="shared" si="11"/>
      </c>
      <c r="E101" s="70" t="str">
        <f t="shared" si="12"/>
        <v> </v>
      </c>
    </row>
    <row r="102" spans="1:5" ht="15">
      <c r="A102" s="294"/>
      <c r="B102" s="295"/>
      <c r="C102" s="296"/>
      <c r="D102" s="69">
        <f t="shared" si="11"/>
      </c>
      <c r="E102" s="70" t="str">
        <f t="shared" si="12"/>
        <v> </v>
      </c>
    </row>
    <row r="103" spans="1:5" ht="15">
      <c r="A103" s="294"/>
      <c r="B103" s="295"/>
      <c r="C103" s="296"/>
      <c r="D103" s="69">
        <f t="shared" si="11"/>
      </c>
      <c r="E103" s="70" t="str">
        <f t="shared" si="12"/>
        <v> </v>
      </c>
    </row>
    <row r="104" spans="1:5" ht="15">
      <c r="A104" s="294"/>
      <c r="B104" s="295"/>
      <c r="C104" s="296"/>
      <c r="D104" s="69">
        <f t="shared" si="11"/>
      </c>
      <c r="E104" s="70" t="str">
        <f t="shared" si="12"/>
        <v> </v>
      </c>
    </row>
    <row r="105" spans="1:5" ht="15">
      <c r="A105" s="294"/>
      <c r="B105" s="295"/>
      <c r="C105" s="296"/>
      <c r="D105" s="69">
        <f t="shared" si="11"/>
      </c>
      <c r="E105" s="70" t="str">
        <f t="shared" si="12"/>
        <v> </v>
      </c>
    </row>
    <row r="106" spans="1:5" ht="15">
      <c r="A106" s="294"/>
      <c r="B106" s="295"/>
      <c r="C106" s="296"/>
      <c r="D106" s="69">
        <f t="shared" si="11"/>
      </c>
      <c r="E106" s="70" t="str">
        <f t="shared" si="12"/>
        <v> </v>
      </c>
    </row>
    <row r="107" spans="1:5" ht="15">
      <c r="A107" s="294"/>
      <c r="B107" s="295"/>
      <c r="C107" s="296"/>
      <c r="D107" s="69">
        <f t="shared" si="11"/>
      </c>
      <c r="E107" s="70" t="str">
        <f t="shared" si="12"/>
        <v> </v>
      </c>
    </row>
    <row r="108" spans="1:5" ht="15">
      <c r="A108" s="294"/>
      <c r="B108" s="295"/>
      <c r="C108" s="296"/>
      <c r="D108" s="69">
        <f t="shared" si="11"/>
      </c>
      <c r="E108" s="70" t="str">
        <f t="shared" si="12"/>
        <v> </v>
      </c>
    </row>
    <row r="109" spans="1:5" ht="15">
      <c r="A109" s="294"/>
      <c r="B109" s="295"/>
      <c r="C109" s="296"/>
      <c r="D109" s="69">
        <f t="shared" si="11"/>
      </c>
      <c r="E109" s="70" t="str">
        <f t="shared" si="12"/>
        <v> </v>
      </c>
    </row>
    <row r="110" spans="1:5" ht="15">
      <c r="A110" s="294"/>
      <c r="B110" s="295"/>
      <c r="C110" s="296"/>
      <c r="D110" s="69">
        <f t="shared" si="11"/>
      </c>
      <c r="E110" s="70" t="str">
        <f t="shared" si="12"/>
        <v> </v>
      </c>
    </row>
    <row r="111" spans="1:5" ht="15">
      <c r="A111" s="294"/>
      <c r="B111" s="295"/>
      <c r="C111" s="296"/>
      <c r="D111" s="69">
        <f t="shared" si="11"/>
      </c>
      <c r="E111" s="70" t="str">
        <f t="shared" si="12"/>
        <v> </v>
      </c>
    </row>
    <row r="112" spans="1:5" ht="15">
      <c r="A112" s="294"/>
      <c r="B112" s="295"/>
      <c r="C112" s="296"/>
      <c r="D112" s="69">
        <f t="shared" si="11"/>
      </c>
      <c r="E112" s="70" t="str">
        <f t="shared" si="12"/>
        <v> </v>
      </c>
    </row>
    <row r="113" spans="1:5" ht="15">
      <c r="A113" s="294"/>
      <c r="B113" s="295"/>
      <c r="C113" s="296"/>
      <c r="D113" s="69">
        <f t="shared" si="11"/>
      </c>
      <c r="E113" s="70" t="str">
        <f t="shared" si="12"/>
        <v> </v>
      </c>
    </row>
    <row r="114" spans="1:5" ht="15">
      <c r="A114" s="294"/>
      <c r="B114" s="295"/>
      <c r="C114" s="296"/>
      <c r="D114" s="69">
        <f t="shared" si="11"/>
      </c>
      <c r="E114" s="70" t="str">
        <f t="shared" si="12"/>
        <v> </v>
      </c>
    </row>
    <row r="115" spans="1:5" ht="15">
      <c r="A115" s="294"/>
      <c r="B115" s="295"/>
      <c r="C115" s="296"/>
      <c r="D115" s="69">
        <f t="shared" si="11"/>
      </c>
      <c r="E115" s="70" t="str">
        <f t="shared" si="12"/>
        <v> </v>
      </c>
    </row>
    <row r="116" spans="1:5" ht="15">
      <c r="A116" s="294"/>
      <c r="B116" s="295"/>
      <c r="C116" s="296"/>
      <c r="D116" s="69">
        <f t="shared" si="11"/>
      </c>
      <c r="E116" s="70" t="str">
        <f t="shared" si="12"/>
        <v> </v>
      </c>
    </row>
    <row r="117" spans="1:5" ht="15">
      <c r="A117" s="294"/>
      <c r="B117" s="295"/>
      <c r="C117" s="296"/>
      <c r="D117" s="69">
        <f t="shared" si="11"/>
      </c>
      <c r="E117" s="70" t="str">
        <f t="shared" si="12"/>
        <v> </v>
      </c>
    </row>
    <row r="118" spans="1:5" ht="15">
      <c r="A118" s="294"/>
      <c r="B118" s="295"/>
      <c r="C118" s="296"/>
      <c r="D118" s="69">
        <f t="shared" si="11"/>
      </c>
      <c r="E118" s="70" t="str">
        <f t="shared" si="12"/>
        <v> </v>
      </c>
    </row>
    <row r="119" spans="1:5" ht="15">
      <c r="A119" s="294"/>
      <c r="B119" s="295"/>
      <c r="C119" s="296"/>
      <c r="D119" s="69">
        <f t="shared" si="11"/>
      </c>
      <c r="E119" s="70" t="str">
        <f t="shared" si="12"/>
        <v> </v>
      </c>
    </row>
    <row r="120" spans="1:5" ht="15">
      <c r="A120" s="294"/>
      <c r="B120" s="295"/>
      <c r="C120" s="296"/>
      <c r="D120" s="69">
        <f t="shared" si="11"/>
      </c>
      <c r="E120" s="70" t="str">
        <f t="shared" si="12"/>
        <v> </v>
      </c>
    </row>
    <row r="121" spans="1:5" ht="15">
      <c r="A121" s="294"/>
      <c r="B121" s="295"/>
      <c r="C121" s="296"/>
      <c r="D121" s="69">
        <f t="shared" si="11"/>
      </c>
      <c r="E121" s="70" t="str">
        <f t="shared" si="12"/>
        <v> </v>
      </c>
    </row>
    <row r="122" spans="1:5" ht="15">
      <c r="A122" s="294"/>
      <c r="B122" s="295"/>
      <c r="C122" s="296"/>
      <c r="D122" s="69">
        <f t="shared" si="11"/>
      </c>
      <c r="E122" s="70" t="str">
        <f t="shared" si="12"/>
        <v> </v>
      </c>
    </row>
    <row r="123" spans="1:5" ht="15">
      <c r="A123" s="294"/>
      <c r="B123" s="295"/>
      <c r="C123" s="296"/>
      <c r="D123" s="69">
        <f t="shared" si="11"/>
      </c>
      <c r="E123" s="70" t="str">
        <f t="shared" si="12"/>
        <v> </v>
      </c>
    </row>
    <row r="124" spans="1:5" ht="15">
      <c r="A124" s="294"/>
      <c r="B124" s="295"/>
      <c r="C124" s="296"/>
      <c r="D124" s="69">
        <f t="shared" si="11"/>
      </c>
      <c r="E124" s="70" t="str">
        <f t="shared" si="12"/>
        <v> </v>
      </c>
    </row>
    <row r="125" spans="1:5" ht="15">
      <c r="A125" s="294"/>
      <c r="B125" s="295"/>
      <c r="C125" s="296"/>
      <c r="D125" s="69">
        <f t="shared" si="11"/>
      </c>
      <c r="E125" s="70" t="str">
        <f t="shared" si="12"/>
        <v> </v>
      </c>
    </row>
    <row r="126" spans="1:5" ht="15">
      <c r="A126" s="294"/>
      <c r="B126" s="295"/>
      <c r="C126" s="296"/>
      <c r="D126" s="69">
        <f t="shared" si="11"/>
      </c>
      <c r="E126" s="70" t="str">
        <f t="shared" si="12"/>
        <v> </v>
      </c>
    </row>
    <row r="127" spans="1:5" ht="15">
      <c r="A127" s="294"/>
      <c r="B127" s="295"/>
      <c r="C127" s="296"/>
      <c r="D127" s="69">
        <f t="shared" si="11"/>
      </c>
      <c r="E127" s="70" t="str">
        <f t="shared" si="12"/>
        <v> </v>
      </c>
    </row>
    <row r="128" spans="1:5" ht="15">
      <c r="A128" s="294"/>
      <c r="B128" s="295"/>
      <c r="C128" s="296"/>
      <c r="D128" s="69">
        <f t="shared" si="11"/>
      </c>
      <c r="E128" s="70" t="str">
        <f t="shared" si="12"/>
        <v> </v>
      </c>
    </row>
    <row r="129" spans="1:5" ht="15">
      <c r="A129" s="294"/>
      <c r="B129" s="295"/>
      <c r="C129" s="296"/>
      <c r="D129" s="69">
        <f t="shared" si="11"/>
      </c>
      <c r="E129" s="70" t="str">
        <f t="shared" si="12"/>
        <v> </v>
      </c>
    </row>
    <row r="130" spans="1:5" ht="15">
      <c r="A130" s="294"/>
      <c r="B130" s="295"/>
      <c r="C130" s="296"/>
      <c r="D130" s="69">
        <f t="shared" si="11"/>
      </c>
      <c r="E130" s="70" t="str">
        <f t="shared" si="12"/>
        <v> </v>
      </c>
    </row>
    <row r="131" spans="1:5" ht="15">
      <c r="A131" s="294"/>
      <c r="B131" s="295"/>
      <c r="C131" s="296"/>
      <c r="D131" s="69">
        <f t="shared" si="11"/>
      </c>
      <c r="E131" s="70" t="str">
        <f t="shared" si="12"/>
        <v> </v>
      </c>
    </row>
    <row r="132" spans="1:5" ht="15">
      <c r="A132" s="294"/>
      <c r="B132" s="295"/>
      <c r="C132" s="296"/>
      <c r="D132" s="69">
        <f t="shared" si="11"/>
      </c>
      <c r="E132" s="70" t="str">
        <f t="shared" si="12"/>
        <v> </v>
      </c>
    </row>
    <row r="133" spans="1:5" ht="15">
      <c r="A133" s="294"/>
      <c r="B133" s="295"/>
      <c r="C133" s="296"/>
      <c r="D133" s="69">
        <f t="shared" si="11"/>
      </c>
      <c r="E133" s="70" t="str">
        <f t="shared" si="12"/>
        <v> </v>
      </c>
    </row>
    <row r="134" spans="1:5" ht="15">
      <c r="A134" s="294"/>
      <c r="B134" s="295"/>
      <c r="C134" s="296"/>
      <c r="D134" s="69">
        <f aca="true" t="shared" si="13" ref="D134:D197">IF(C134=2,"",IF(C134=1,"",IF(C134=3,"",IF(C134="","","Mva-koden må skrives slik: 1, 2 eller 3. (inng. mva, inng. mva/invest. avgift, utg.mva)"))))</f>
      </c>
      <c r="E134" s="70" t="str">
        <f aca="true" t="shared" si="14" ref="E134:E197">A134&amp;" "&amp;B134</f>
        <v> </v>
      </c>
    </row>
    <row r="135" spans="1:5" ht="15">
      <c r="A135" s="294"/>
      <c r="B135" s="295"/>
      <c r="C135" s="296"/>
      <c r="D135" s="69">
        <f t="shared" si="13"/>
      </c>
      <c r="E135" s="70" t="str">
        <f t="shared" si="14"/>
        <v> </v>
      </c>
    </row>
    <row r="136" spans="1:5" ht="15">
      <c r="A136" s="294"/>
      <c r="B136" s="295"/>
      <c r="C136" s="296"/>
      <c r="D136" s="69">
        <f t="shared" si="13"/>
      </c>
      <c r="E136" s="70" t="str">
        <f t="shared" si="14"/>
        <v> </v>
      </c>
    </row>
    <row r="137" spans="1:5" ht="15">
      <c r="A137" s="294"/>
      <c r="B137" s="295"/>
      <c r="C137" s="296"/>
      <c r="D137" s="69">
        <f t="shared" si="13"/>
      </c>
      <c r="E137" s="70" t="str">
        <f t="shared" si="14"/>
        <v> </v>
      </c>
    </row>
    <row r="138" spans="1:5" ht="15">
      <c r="A138" s="294"/>
      <c r="B138" s="295"/>
      <c r="C138" s="296"/>
      <c r="D138" s="69">
        <f t="shared" si="13"/>
      </c>
      <c r="E138" s="70" t="str">
        <f t="shared" si="14"/>
        <v> </v>
      </c>
    </row>
    <row r="139" spans="1:5" ht="15">
      <c r="A139" s="294"/>
      <c r="B139" s="295"/>
      <c r="C139" s="296"/>
      <c r="D139" s="69">
        <f t="shared" si="13"/>
      </c>
      <c r="E139" s="70" t="str">
        <f t="shared" si="14"/>
        <v> </v>
      </c>
    </row>
    <row r="140" spans="1:5" ht="15">
      <c r="A140" s="294"/>
      <c r="B140" s="295"/>
      <c r="C140" s="296"/>
      <c r="D140" s="69">
        <f t="shared" si="13"/>
      </c>
      <c r="E140" s="70" t="str">
        <f t="shared" si="14"/>
        <v> </v>
      </c>
    </row>
    <row r="141" spans="1:5" ht="15">
      <c r="A141" s="294"/>
      <c r="B141" s="295"/>
      <c r="C141" s="296"/>
      <c r="D141" s="69">
        <f t="shared" si="13"/>
      </c>
      <c r="E141" s="70" t="str">
        <f t="shared" si="14"/>
        <v> </v>
      </c>
    </row>
    <row r="142" spans="1:5" ht="15">
      <c r="A142" s="294"/>
      <c r="B142" s="295"/>
      <c r="C142" s="296"/>
      <c r="D142" s="69">
        <f t="shared" si="13"/>
      </c>
      <c r="E142" s="70" t="str">
        <f t="shared" si="14"/>
        <v> </v>
      </c>
    </row>
    <row r="143" spans="1:5" ht="15">
      <c r="A143" s="294"/>
      <c r="B143" s="295"/>
      <c r="C143" s="296"/>
      <c r="D143" s="69">
        <f t="shared" si="13"/>
      </c>
      <c r="E143" s="70" t="str">
        <f t="shared" si="14"/>
        <v> </v>
      </c>
    </row>
    <row r="144" spans="1:5" ht="15">
      <c r="A144" s="294"/>
      <c r="B144" s="295"/>
      <c r="C144" s="296"/>
      <c r="D144" s="69">
        <f t="shared" si="13"/>
      </c>
      <c r="E144" s="70" t="str">
        <f t="shared" si="14"/>
        <v> </v>
      </c>
    </row>
    <row r="145" spans="1:5" ht="15">
      <c r="A145" s="294"/>
      <c r="B145" s="295"/>
      <c r="C145" s="296"/>
      <c r="D145" s="69">
        <f t="shared" si="13"/>
      </c>
      <c r="E145" s="70" t="str">
        <f t="shared" si="14"/>
        <v> </v>
      </c>
    </row>
    <row r="146" spans="1:5" ht="15">
      <c r="A146" s="294"/>
      <c r="B146" s="295"/>
      <c r="C146" s="296"/>
      <c r="D146" s="69">
        <f t="shared" si="13"/>
      </c>
      <c r="E146" s="70" t="str">
        <f t="shared" si="14"/>
        <v> </v>
      </c>
    </row>
    <row r="147" spans="1:5" ht="15">
      <c r="A147" s="294"/>
      <c r="B147" s="295"/>
      <c r="C147" s="296"/>
      <c r="D147" s="69">
        <f t="shared" si="13"/>
      </c>
      <c r="E147" s="70" t="str">
        <f t="shared" si="14"/>
        <v> </v>
      </c>
    </row>
    <row r="148" spans="1:5" ht="15">
      <c r="A148" s="294"/>
      <c r="B148" s="295"/>
      <c r="C148" s="296"/>
      <c r="D148" s="69">
        <f t="shared" si="13"/>
      </c>
      <c r="E148" s="70" t="str">
        <f t="shared" si="14"/>
        <v> </v>
      </c>
    </row>
    <row r="149" spans="1:5" ht="15">
      <c r="A149" s="294"/>
      <c r="B149" s="295"/>
      <c r="C149" s="296"/>
      <c r="D149" s="69">
        <f t="shared" si="13"/>
      </c>
      <c r="E149" s="70" t="str">
        <f t="shared" si="14"/>
        <v> </v>
      </c>
    </row>
    <row r="150" spans="1:5" ht="15">
      <c r="A150" s="294"/>
      <c r="B150" s="295"/>
      <c r="C150" s="296"/>
      <c r="D150" s="69">
        <f t="shared" si="13"/>
      </c>
      <c r="E150" s="70" t="str">
        <f t="shared" si="14"/>
        <v> </v>
      </c>
    </row>
    <row r="151" spans="1:5" ht="15">
      <c r="A151" s="294"/>
      <c r="B151" s="295"/>
      <c r="C151" s="296"/>
      <c r="D151" s="69">
        <f t="shared" si="13"/>
      </c>
      <c r="E151" s="70" t="str">
        <f t="shared" si="14"/>
        <v> </v>
      </c>
    </row>
    <row r="152" spans="1:5" ht="15">
      <c r="A152" s="294"/>
      <c r="B152" s="295"/>
      <c r="C152" s="296"/>
      <c r="D152" s="69">
        <f t="shared" si="13"/>
      </c>
      <c r="E152" s="70" t="str">
        <f t="shared" si="14"/>
        <v> </v>
      </c>
    </row>
    <row r="153" spans="1:5" ht="15">
      <c r="A153" s="294"/>
      <c r="B153" s="295"/>
      <c r="C153" s="296"/>
      <c r="D153" s="69">
        <f t="shared" si="13"/>
      </c>
      <c r="E153" s="70" t="str">
        <f t="shared" si="14"/>
        <v> </v>
      </c>
    </row>
    <row r="154" spans="1:5" ht="15">
      <c r="A154" s="294"/>
      <c r="B154" s="295"/>
      <c r="C154" s="296"/>
      <c r="D154" s="69">
        <f t="shared" si="13"/>
      </c>
      <c r="E154" s="70" t="str">
        <f t="shared" si="14"/>
        <v> </v>
      </c>
    </row>
    <row r="155" spans="1:5" ht="15">
      <c r="A155" s="294"/>
      <c r="B155" s="295"/>
      <c r="C155" s="296"/>
      <c r="D155" s="69">
        <f t="shared" si="13"/>
      </c>
      <c r="E155" s="70" t="str">
        <f t="shared" si="14"/>
        <v> </v>
      </c>
    </row>
    <row r="156" spans="1:5" ht="15">
      <c r="A156" s="294"/>
      <c r="B156" s="295"/>
      <c r="C156" s="296"/>
      <c r="D156" s="69">
        <f t="shared" si="13"/>
      </c>
      <c r="E156" s="70" t="str">
        <f t="shared" si="14"/>
        <v> </v>
      </c>
    </row>
    <row r="157" spans="1:5" ht="15">
      <c r="A157" s="294"/>
      <c r="B157" s="295"/>
      <c r="C157" s="296"/>
      <c r="D157" s="69">
        <f t="shared" si="13"/>
      </c>
      <c r="E157" s="70" t="str">
        <f t="shared" si="14"/>
        <v> </v>
      </c>
    </row>
    <row r="158" spans="1:5" ht="15">
      <c r="A158" s="294"/>
      <c r="B158" s="295"/>
      <c r="C158" s="296"/>
      <c r="D158" s="69">
        <f t="shared" si="13"/>
      </c>
      <c r="E158" s="70" t="str">
        <f t="shared" si="14"/>
        <v> </v>
      </c>
    </row>
    <row r="159" spans="1:5" ht="15">
      <c r="A159" s="294"/>
      <c r="B159" s="295"/>
      <c r="C159" s="296"/>
      <c r="D159" s="69">
        <f t="shared" si="13"/>
      </c>
      <c r="E159" s="70" t="str">
        <f t="shared" si="14"/>
        <v> </v>
      </c>
    </row>
    <row r="160" spans="1:5" ht="15">
      <c r="A160" s="294"/>
      <c r="B160" s="295"/>
      <c r="C160" s="296"/>
      <c r="D160" s="69">
        <f t="shared" si="13"/>
      </c>
      <c r="E160" s="70" t="str">
        <f t="shared" si="14"/>
        <v> </v>
      </c>
    </row>
    <row r="161" spans="1:5" ht="15">
      <c r="A161" s="294"/>
      <c r="B161" s="295"/>
      <c r="C161" s="296"/>
      <c r="D161" s="69">
        <f t="shared" si="13"/>
      </c>
      <c r="E161" s="70" t="str">
        <f t="shared" si="14"/>
        <v> </v>
      </c>
    </row>
    <row r="162" spans="1:5" ht="15">
      <c r="A162" s="294"/>
      <c r="B162" s="295"/>
      <c r="C162" s="296"/>
      <c r="D162" s="69">
        <f t="shared" si="13"/>
      </c>
      <c r="E162" s="70" t="str">
        <f t="shared" si="14"/>
        <v> </v>
      </c>
    </row>
    <row r="163" spans="1:5" ht="15">
      <c r="A163" s="294"/>
      <c r="B163" s="295"/>
      <c r="C163" s="296"/>
      <c r="D163" s="69">
        <f t="shared" si="13"/>
      </c>
      <c r="E163" s="70" t="str">
        <f t="shared" si="14"/>
        <v> </v>
      </c>
    </row>
    <row r="164" spans="1:5" ht="15">
      <c r="A164" s="294"/>
      <c r="B164" s="295"/>
      <c r="C164" s="296"/>
      <c r="D164" s="69">
        <f t="shared" si="13"/>
      </c>
      <c r="E164" s="70" t="str">
        <f t="shared" si="14"/>
        <v> </v>
      </c>
    </row>
    <row r="165" spans="1:5" ht="15">
      <c r="A165" s="294"/>
      <c r="B165" s="295"/>
      <c r="C165" s="296"/>
      <c r="D165" s="69">
        <f t="shared" si="13"/>
      </c>
      <c r="E165" s="70" t="str">
        <f t="shared" si="14"/>
        <v> </v>
      </c>
    </row>
    <row r="166" spans="1:5" ht="15">
      <c r="A166" s="294"/>
      <c r="B166" s="295"/>
      <c r="C166" s="296"/>
      <c r="D166" s="69">
        <f t="shared" si="13"/>
      </c>
      <c r="E166" s="70" t="str">
        <f t="shared" si="14"/>
        <v> </v>
      </c>
    </row>
    <row r="167" spans="1:5" ht="15">
      <c r="A167" s="294"/>
      <c r="B167" s="295"/>
      <c r="C167" s="296"/>
      <c r="D167" s="69">
        <f t="shared" si="13"/>
      </c>
      <c r="E167" s="70" t="str">
        <f t="shared" si="14"/>
        <v> </v>
      </c>
    </row>
    <row r="168" spans="1:5" ht="15">
      <c r="A168" s="294"/>
      <c r="B168" s="295"/>
      <c r="C168" s="296"/>
      <c r="D168" s="69">
        <f t="shared" si="13"/>
      </c>
      <c r="E168" s="70" t="str">
        <f t="shared" si="14"/>
        <v> </v>
      </c>
    </row>
    <row r="169" spans="1:5" ht="15">
      <c r="A169" s="294"/>
      <c r="B169" s="295"/>
      <c r="C169" s="296"/>
      <c r="D169" s="69">
        <f t="shared" si="13"/>
      </c>
      <c r="E169" s="70" t="str">
        <f t="shared" si="14"/>
        <v> </v>
      </c>
    </row>
    <row r="170" spans="1:5" ht="15">
      <c r="A170" s="294"/>
      <c r="B170" s="295"/>
      <c r="C170" s="296"/>
      <c r="D170" s="69">
        <f t="shared" si="13"/>
      </c>
      <c r="E170" s="70" t="str">
        <f t="shared" si="14"/>
        <v> </v>
      </c>
    </row>
    <row r="171" spans="1:5" ht="15">
      <c r="A171" s="294"/>
      <c r="B171" s="295"/>
      <c r="C171" s="296"/>
      <c r="D171" s="69">
        <f t="shared" si="13"/>
      </c>
      <c r="E171" s="70" t="str">
        <f t="shared" si="14"/>
        <v> </v>
      </c>
    </row>
    <row r="172" spans="1:5" ht="15">
      <c r="A172" s="294"/>
      <c r="B172" s="295"/>
      <c r="C172" s="296"/>
      <c r="D172" s="69">
        <f t="shared" si="13"/>
      </c>
      <c r="E172" s="70" t="str">
        <f t="shared" si="14"/>
        <v> </v>
      </c>
    </row>
    <row r="173" spans="1:5" ht="15">
      <c r="A173" s="294"/>
      <c r="B173" s="295"/>
      <c r="C173" s="296"/>
      <c r="D173" s="69">
        <f t="shared" si="13"/>
      </c>
      <c r="E173" s="70" t="str">
        <f t="shared" si="14"/>
        <v> </v>
      </c>
    </row>
    <row r="174" spans="1:5" ht="15">
      <c r="A174" s="294"/>
      <c r="B174" s="295"/>
      <c r="C174" s="296"/>
      <c r="D174" s="69">
        <f t="shared" si="13"/>
      </c>
      <c r="E174" s="70" t="str">
        <f t="shared" si="14"/>
        <v> </v>
      </c>
    </row>
    <row r="175" spans="1:5" ht="15">
      <c r="A175" s="294"/>
      <c r="B175" s="295"/>
      <c r="C175" s="296"/>
      <c r="D175" s="69">
        <f t="shared" si="13"/>
      </c>
      <c r="E175" s="70" t="str">
        <f t="shared" si="14"/>
        <v> </v>
      </c>
    </row>
    <row r="176" spans="1:5" ht="15">
      <c r="A176" s="294"/>
      <c r="B176" s="295"/>
      <c r="C176" s="296"/>
      <c r="D176" s="69">
        <f t="shared" si="13"/>
      </c>
      <c r="E176" s="70" t="str">
        <f t="shared" si="14"/>
        <v> </v>
      </c>
    </row>
    <row r="177" spans="1:5" ht="15">
      <c r="A177" s="294"/>
      <c r="B177" s="295"/>
      <c r="C177" s="296"/>
      <c r="D177" s="69">
        <f t="shared" si="13"/>
      </c>
      <c r="E177" s="70" t="str">
        <f t="shared" si="14"/>
        <v> </v>
      </c>
    </row>
    <row r="178" spans="1:5" ht="15">
      <c r="A178" s="294"/>
      <c r="B178" s="295"/>
      <c r="C178" s="296"/>
      <c r="D178" s="69">
        <f t="shared" si="13"/>
      </c>
      <c r="E178" s="70" t="str">
        <f t="shared" si="14"/>
        <v> </v>
      </c>
    </row>
    <row r="179" spans="1:5" ht="15">
      <c r="A179" s="294"/>
      <c r="B179" s="295"/>
      <c r="C179" s="296"/>
      <c r="D179" s="69">
        <f t="shared" si="13"/>
      </c>
      <c r="E179" s="70" t="str">
        <f t="shared" si="14"/>
        <v> </v>
      </c>
    </row>
    <row r="180" spans="1:5" ht="15">
      <c r="A180" s="294"/>
      <c r="B180" s="295"/>
      <c r="C180" s="296"/>
      <c r="D180" s="69">
        <f t="shared" si="13"/>
      </c>
      <c r="E180" s="70" t="str">
        <f t="shared" si="14"/>
        <v> </v>
      </c>
    </row>
    <row r="181" spans="1:5" ht="15">
      <c r="A181" s="294"/>
      <c r="B181" s="295"/>
      <c r="C181" s="296"/>
      <c r="D181" s="69">
        <f t="shared" si="13"/>
      </c>
      <c r="E181" s="70" t="str">
        <f t="shared" si="14"/>
        <v> </v>
      </c>
    </row>
    <row r="182" spans="1:5" ht="15">
      <c r="A182" s="294"/>
      <c r="B182" s="295"/>
      <c r="C182" s="296"/>
      <c r="D182" s="69">
        <f t="shared" si="13"/>
      </c>
      <c r="E182" s="70" t="str">
        <f t="shared" si="14"/>
        <v> </v>
      </c>
    </row>
    <row r="183" spans="1:5" ht="15">
      <c r="A183" s="294"/>
      <c r="B183" s="295"/>
      <c r="C183" s="296"/>
      <c r="D183" s="69">
        <f t="shared" si="13"/>
      </c>
      <c r="E183" s="70" t="str">
        <f t="shared" si="14"/>
        <v> </v>
      </c>
    </row>
    <row r="184" spans="1:5" ht="15">
      <c r="A184" s="294"/>
      <c r="B184" s="295"/>
      <c r="C184" s="296"/>
      <c r="D184" s="69">
        <f t="shared" si="13"/>
      </c>
      <c r="E184" s="70" t="str">
        <f t="shared" si="14"/>
        <v> </v>
      </c>
    </row>
    <row r="185" spans="1:5" ht="15">
      <c r="A185" s="294"/>
      <c r="B185" s="295"/>
      <c r="C185" s="296"/>
      <c r="D185" s="69">
        <f t="shared" si="13"/>
      </c>
      <c r="E185" s="70" t="str">
        <f t="shared" si="14"/>
        <v> </v>
      </c>
    </row>
    <row r="186" spans="1:5" ht="15">
      <c r="A186" s="294"/>
      <c r="B186" s="295"/>
      <c r="C186" s="296"/>
      <c r="D186" s="69">
        <f t="shared" si="13"/>
      </c>
      <c r="E186" s="70" t="str">
        <f t="shared" si="14"/>
        <v> </v>
      </c>
    </row>
    <row r="187" spans="1:5" ht="15">
      <c r="A187" s="294"/>
      <c r="B187" s="295"/>
      <c r="C187" s="296"/>
      <c r="D187" s="69">
        <f t="shared" si="13"/>
      </c>
      <c r="E187" s="70" t="str">
        <f t="shared" si="14"/>
        <v> </v>
      </c>
    </row>
    <row r="188" spans="1:5" ht="15">
      <c r="A188" s="294"/>
      <c r="B188" s="295"/>
      <c r="C188" s="296"/>
      <c r="D188" s="69">
        <f t="shared" si="13"/>
      </c>
      <c r="E188" s="70" t="str">
        <f t="shared" si="14"/>
        <v> </v>
      </c>
    </row>
    <row r="189" spans="1:5" ht="15">
      <c r="A189" s="294"/>
      <c r="B189" s="295"/>
      <c r="C189" s="296"/>
      <c r="D189" s="69">
        <f t="shared" si="13"/>
      </c>
      <c r="E189" s="70" t="str">
        <f t="shared" si="14"/>
        <v> </v>
      </c>
    </row>
    <row r="190" spans="1:5" ht="15">
      <c r="A190" s="294"/>
      <c r="B190" s="295"/>
      <c r="C190" s="296"/>
      <c r="D190" s="69">
        <f t="shared" si="13"/>
      </c>
      <c r="E190" s="70" t="str">
        <f t="shared" si="14"/>
        <v> </v>
      </c>
    </row>
    <row r="191" spans="1:5" ht="15">
      <c r="A191" s="294"/>
      <c r="B191" s="295"/>
      <c r="C191" s="296"/>
      <c r="D191" s="69">
        <f t="shared" si="13"/>
      </c>
      <c r="E191" s="70" t="str">
        <f t="shared" si="14"/>
        <v> </v>
      </c>
    </row>
    <row r="192" spans="1:5" ht="15">
      <c r="A192" s="294"/>
      <c r="B192" s="295"/>
      <c r="C192" s="296"/>
      <c r="D192" s="69">
        <f t="shared" si="13"/>
      </c>
      <c r="E192" s="70" t="str">
        <f t="shared" si="14"/>
        <v> </v>
      </c>
    </row>
    <row r="193" spans="1:5" ht="15">
      <c r="A193" s="294"/>
      <c r="B193" s="295"/>
      <c r="C193" s="296"/>
      <c r="D193" s="69">
        <f t="shared" si="13"/>
      </c>
      <c r="E193" s="70" t="str">
        <f t="shared" si="14"/>
        <v> </v>
      </c>
    </row>
    <row r="194" spans="1:5" ht="15">
      <c r="A194" s="294"/>
      <c r="B194" s="295"/>
      <c r="C194" s="296"/>
      <c r="D194" s="69">
        <f t="shared" si="13"/>
      </c>
      <c r="E194" s="70" t="str">
        <f t="shared" si="14"/>
        <v> </v>
      </c>
    </row>
    <row r="195" spans="1:5" ht="15">
      <c r="A195" s="294"/>
      <c r="B195" s="295"/>
      <c r="C195" s="296"/>
      <c r="D195" s="69">
        <f t="shared" si="13"/>
      </c>
      <c r="E195" s="70" t="str">
        <f t="shared" si="14"/>
        <v> </v>
      </c>
    </row>
    <row r="196" spans="1:5" ht="15">
      <c r="A196" s="294"/>
      <c r="B196" s="295"/>
      <c r="C196" s="296"/>
      <c r="D196" s="69">
        <f t="shared" si="13"/>
      </c>
      <c r="E196" s="70" t="str">
        <f t="shared" si="14"/>
        <v> </v>
      </c>
    </row>
    <row r="197" spans="1:5" ht="15">
      <c r="A197" s="294"/>
      <c r="B197" s="295"/>
      <c r="C197" s="296"/>
      <c r="D197" s="69">
        <f t="shared" si="13"/>
      </c>
      <c r="E197" s="70" t="str">
        <f t="shared" si="14"/>
        <v> </v>
      </c>
    </row>
    <row r="198" spans="1:5" ht="15">
      <c r="A198" s="294"/>
      <c r="B198" s="295"/>
      <c r="C198" s="296"/>
      <c r="D198" s="69">
        <f aca="true" t="shared" si="15" ref="D198:D206">IF(C198=2,"",IF(C198=1,"",IF(C198=3,"",IF(C198="","","Mva-koden må skrives slik: 1, 2 eller 3. (inng. mva, inng. mva/invest. avgift, utg.mva)"))))</f>
      </c>
      <c r="E198" s="70" t="str">
        <f aca="true" t="shared" si="16" ref="E198:E206">A198&amp;" "&amp;B198</f>
        <v> </v>
      </c>
    </row>
    <row r="199" spans="1:5" ht="15">
      <c r="A199" s="294"/>
      <c r="B199" s="295"/>
      <c r="C199" s="296"/>
      <c r="D199" s="69">
        <f t="shared" si="15"/>
      </c>
      <c r="E199" s="70" t="str">
        <f t="shared" si="16"/>
        <v> </v>
      </c>
    </row>
    <row r="200" spans="1:5" ht="15">
      <c r="A200" s="294"/>
      <c r="B200" s="295"/>
      <c r="C200" s="296"/>
      <c r="D200" s="69">
        <f t="shared" si="15"/>
      </c>
      <c r="E200" s="70" t="str">
        <f t="shared" si="16"/>
        <v> </v>
      </c>
    </row>
    <row r="201" spans="1:5" ht="15">
      <c r="A201" s="294"/>
      <c r="B201" s="295"/>
      <c r="C201" s="296"/>
      <c r="D201" s="69">
        <f t="shared" si="15"/>
      </c>
      <c r="E201" s="70" t="str">
        <f t="shared" si="16"/>
        <v> </v>
      </c>
    </row>
    <row r="202" spans="1:5" ht="15">
      <c r="A202" s="294"/>
      <c r="B202" s="295"/>
      <c r="C202" s="296"/>
      <c r="D202" s="69">
        <f t="shared" si="15"/>
      </c>
      <c r="E202" s="70" t="str">
        <f t="shared" si="16"/>
        <v> </v>
      </c>
    </row>
    <row r="203" spans="1:5" ht="15">
      <c r="A203" s="294"/>
      <c r="B203" s="295"/>
      <c r="C203" s="296"/>
      <c r="D203" s="69">
        <f t="shared" si="15"/>
      </c>
      <c r="E203" s="70" t="str">
        <f t="shared" si="16"/>
        <v> </v>
      </c>
    </row>
    <row r="204" spans="1:5" ht="15">
      <c r="A204" s="294"/>
      <c r="B204" s="295"/>
      <c r="C204" s="296"/>
      <c r="D204" s="69">
        <f t="shared" si="15"/>
      </c>
      <c r="E204" s="70" t="str">
        <f t="shared" si="16"/>
        <v> </v>
      </c>
    </row>
    <row r="205" spans="1:5" ht="15">
      <c r="A205" s="294"/>
      <c r="B205" s="295"/>
      <c r="C205" s="296"/>
      <c r="D205" s="69">
        <f t="shared" si="15"/>
      </c>
      <c r="E205" s="70" t="str">
        <f t="shared" si="16"/>
        <v> </v>
      </c>
    </row>
    <row r="206" spans="4:5" ht="15">
      <c r="D206" s="69">
        <f t="shared" si="15"/>
      </c>
      <c r="E206" s="70" t="str">
        <f t="shared" si="16"/>
        <v> </v>
      </c>
    </row>
    <row r="207" spans="1:5" ht="12.75">
      <c r="A207" s="172">
        <v>12100</v>
      </c>
      <c r="B207" s="70" t="s">
        <v>201</v>
      </c>
      <c r="E207" s="70" t="e">
        <f>B207&amp;" "&amp;#REF!</f>
        <v>#REF!</v>
      </c>
    </row>
    <row r="208" spans="1:5" ht="12.75">
      <c r="A208" s="172">
        <v>20100</v>
      </c>
      <c r="B208" s="70" t="s">
        <v>202</v>
      </c>
      <c r="E208" s="70" t="str">
        <f>A208&amp;" "&amp;B208</f>
        <v>20100 Første kontonummer for enkeltleverandører</v>
      </c>
    </row>
  </sheetData>
  <sheetProtection sheet="1" objects="1" scenarios="1"/>
  <printOptions/>
  <pageMargins left="0.51" right="0.28" top="0.67" bottom="0.69" header="0.41" footer="0.5"/>
  <pageSetup fitToHeight="3" horizontalDpi="300" verticalDpi="300" orientation="portrait" paperSize="9" scale="80" r:id="rId3"/>
  <headerFooter alignWithMargins="0">
    <oddHeader>&amp;RUtskriftsdato &amp;D</oddHeader>
    <oddFooter>&amp;LJohs Totland 19©98&amp;C&amp;F &amp;A&amp;RSide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8">
    <pageSetUpPr fitToPage="1"/>
  </sheetPr>
  <dimension ref="A1:W46"/>
  <sheetViews>
    <sheetView showGridLines="0" zoomScale="75" zoomScaleNormal="75" workbookViewId="0" topLeftCell="A1">
      <selection activeCell="A3" sqref="A3"/>
    </sheetView>
  </sheetViews>
  <sheetFormatPr defaultColWidth="11.421875" defaultRowHeight="12.75"/>
  <cols>
    <col min="1" max="1" width="8.28125" style="40" customWidth="1"/>
    <col min="2" max="2" width="5.421875" style="40" customWidth="1"/>
    <col min="3" max="3" width="29.28125" style="40" customWidth="1"/>
    <col min="4" max="4" width="7.8515625" style="40" customWidth="1"/>
    <col min="5" max="5" width="25.421875" style="40" customWidth="1"/>
    <col min="6" max="6" width="5.8515625" style="40" customWidth="1"/>
    <col min="7" max="11" width="11.140625" style="40" customWidth="1"/>
    <col min="12" max="16384" width="9.140625" style="40" customWidth="1"/>
  </cols>
  <sheetData>
    <row r="1" spans="1:23" ht="18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</row>
    <row r="2" spans="1:23" ht="18" customHeight="1" thickBo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11" s="11" customFormat="1" ht="22.5" customHeight="1">
      <c r="A3" s="1" t="s">
        <v>1</v>
      </c>
      <c r="B3" s="2"/>
      <c r="C3" s="3"/>
      <c r="D3" s="4" t="s">
        <v>2</v>
      </c>
      <c r="E3" s="5"/>
      <c r="F3" s="6" t="s">
        <v>3</v>
      </c>
      <c r="G3" s="7"/>
      <c r="H3" s="8" t="s">
        <v>4</v>
      </c>
      <c r="I3" s="9"/>
      <c r="J3" s="7"/>
      <c r="K3" s="10"/>
    </row>
    <row r="4" spans="1:11" s="11" customFormat="1" ht="15">
      <c r="A4" s="12"/>
      <c r="B4" s="13" t="s">
        <v>5</v>
      </c>
      <c r="C4" s="14"/>
      <c r="D4" s="15"/>
      <c r="E4" s="16"/>
      <c r="F4" s="17" t="s">
        <v>6</v>
      </c>
      <c r="G4" s="58" t="s">
        <v>7</v>
      </c>
      <c r="H4" s="59"/>
      <c r="I4" s="18" t="s">
        <v>8</v>
      </c>
      <c r="J4" s="19">
        <v>2710</v>
      </c>
      <c r="K4" s="20">
        <v>2700</v>
      </c>
    </row>
    <row r="5" spans="1:11" s="11" customFormat="1" ht="15">
      <c r="A5" s="21" t="s">
        <v>16</v>
      </c>
      <c r="B5" s="22" t="s">
        <v>17</v>
      </c>
      <c r="C5" s="23" t="s">
        <v>18</v>
      </c>
      <c r="D5" s="24" t="s">
        <v>19</v>
      </c>
      <c r="E5" s="25" t="s">
        <v>20</v>
      </c>
      <c r="F5" s="26" t="s">
        <v>21</v>
      </c>
      <c r="G5" s="27" t="s">
        <v>22</v>
      </c>
      <c r="H5" s="27" t="s">
        <v>23</v>
      </c>
      <c r="I5" s="27" t="s">
        <v>24</v>
      </c>
      <c r="J5" s="28" t="s">
        <v>25</v>
      </c>
      <c r="K5" s="29" t="s">
        <v>26</v>
      </c>
    </row>
    <row r="6" spans="1:11" ht="18.75" customHeight="1">
      <c r="A6" s="30"/>
      <c r="B6" s="31"/>
      <c r="C6" s="32"/>
      <c r="D6" s="33"/>
      <c r="E6" s="34"/>
      <c r="F6" s="35"/>
      <c r="G6" s="36"/>
      <c r="H6" s="37"/>
      <c r="I6" s="38"/>
      <c r="J6" s="38"/>
      <c r="K6" s="39"/>
    </row>
    <row r="7" spans="1:11" ht="18.75" customHeight="1">
      <c r="A7" s="30"/>
      <c r="B7" s="31"/>
      <c r="C7" s="32"/>
      <c r="D7" s="33"/>
      <c r="E7" s="34"/>
      <c r="F7" s="35"/>
      <c r="G7" s="36"/>
      <c r="H7" s="37"/>
      <c r="I7" s="38"/>
      <c r="J7" s="38"/>
      <c r="K7" s="39"/>
    </row>
    <row r="8" spans="1:11" ht="18.75" customHeight="1">
      <c r="A8" s="30"/>
      <c r="B8" s="31"/>
      <c r="C8" s="32"/>
      <c r="D8" s="33"/>
      <c r="E8" s="34"/>
      <c r="F8" s="35"/>
      <c r="G8" s="36"/>
      <c r="H8" s="37"/>
      <c r="I8" s="38"/>
      <c r="J8" s="38"/>
      <c r="K8" s="39"/>
    </row>
    <row r="9" spans="1:11" ht="18.75" customHeight="1">
      <c r="A9" s="30"/>
      <c r="B9" s="31"/>
      <c r="C9" s="32"/>
      <c r="D9" s="33"/>
      <c r="E9" s="34"/>
      <c r="F9" s="35"/>
      <c r="G9" s="36"/>
      <c r="H9" s="37"/>
      <c r="I9" s="38"/>
      <c r="J9" s="38"/>
      <c r="K9" s="39"/>
    </row>
    <row r="10" spans="1:11" ht="18.75" customHeight="1">
      <c r="A10" s="30"/>
      <c r="B10" s="31"/>
      <c r="C10" s="32"/>
      <c r="D10" s="33"/>
      <c r="E10" s="34"/>
      <c r="F10" s="35"/>
      <c r="G10" s="36"/>
      <c r="H10" s="37"/>
      <c r="I10" s="38"/>
      <c r="J10" s="38"/>
      <c r="K10" s="39"/>
    </row>
    <row r="11" spans="1:11" ht="18.75" customHeight="1">
      <c r="A11" s="30"/>
      <c r="B11" s="31"/>
      <c r="C11" s="32"/>
      <c r="D11" s="33"/>
      <c r="E11" s="34"/>
      <c r="F11" s="35"/>
      <c r="G11" s="36"/>
      <c r="H11" s="37"/>
      <c r="I11" s="38"/>
      <c r="J11" s="38"/>
      <c r="K11" s="39"/>
    </row>
    <row r="12" spans="1:11" ht="18.75" customHeight="1">
      <c r="A12" s="30"/>
      <c r="B12" s="31"/>
      <c r="C12" s="32"/>
      <c r="D12" s="33"/>
      <c r="E12" s="34"/>
      <c r="F12" s="35"/>
      <c r="G12" s="36"/>
      <c r="H12" s="37"/>
      <c r="I12" s="38"/>
      <c r="J12" s="38"/>
      <c r="K12" s="39"/>
    </row>
    <row r="13" spans="1:11" ht="18.75" customHeight="1">
      <c r="A13" s="30"/>
      <c r="B13" s="31"/>
      <c r="C13" s="32"/>
      <c r="D13" s="33"/>
      <c r="E13" s="34"/>
      <c r="F13" s="35"/>
      <c r="G13" s="36"/>
      <c r="H13" s="37"/>
      <c r="I13" s="38"/>
      <c r="J13" s="38"/>
      <c r="K13" s="39"/>
    </row>
    <row r="14" spans="1:11" ht="18.75" customHeight="1">
      <c r="A14" s="30"/>
      <c r="B14" s="31"/>
      <c r="C14" s="32"/>
      <c r="D14" s="33"/>
      <c r="E14" s="34"/>
      <c r="F14" s="35"/>
      <c r="G14" s="36"/>
      <c r="H14" s="37"/>
      <c r="I14" s="38"/>
      <c r="J14" s="38"/>
      <c r="K14" s="39"/>
    </row>
    <row r="15" spans="1:11" ht="18.75" customHeight="1">
      <c r="A15" s="30"/>
      <c r="B15" s="31"/>
      <c r="C15" s="32"/>
      <c r="D15" s="33"/>
      <c r="E15" s="34"/>
      <c r="F15" s="35"/>
      <c r="G15" s="36"/>
      <c r="H15" s="37"/>
      <c r="I15" s="38"/>
      <c r="J15" s="38"/>
      <c r="K15" s="39"/>
    </row>
    <row r="16" spans="1:11" ht="18.75" customHeight="1">
      <c r="A16" s="30"/>
      <c r="B16" s="31"/>
      <c r="C16" s="32"/>
      <c r="D16" s="33"/>
      <c r="E16" s="34"/>
      <c r="F16" s="35"/>
      <c r="G16" s="36"/>
      <c r="H16" s="37"/>
      <c r="I16" s="38"/>
      <c r="J16" s="38"/>
      <c r="K16" s="39"/>
    </row>
    <row r="17" spans="1:11" ht="18.75" customHeight="1">
      <c r="A17" s="30"/>
      <c r="B17" s="31"/>
      <c r="C17" s="32"/>
      <c r="D17" s="33"/>
      <c r="E17" s="34"/>
      <c r="F17" s="35"/>
      <c r="G17" s="36"/>
      <c r="H17" s="37"/>
      <c r="I17" s="38"/>
      <c r="J17" s="38"/>
      <c r="K17" s="39"/>
    </row>
    <row r="18" spans="1:11" ht="18.75" customHeight="1">
      <c r="A18" s="30"/>
      <c r="B18" s="31"/>
      <c r="C18" s="32"/>
      <c r="D18" s="33"/>
      <c r="E18" s="34"/>
      <c r="F18" s="35"/>
      <c r="G18" s="36"/>
      <c r="H18" s="37"/>
      <c r="I18" s="38"/>
      <c r="J18" s="38"/>
      <c r="K18" s="39"/>
    </row>
    <row r="19" spans="1:11" ht="18.75" customHeight="1">
      <c r="A19" s="30"/>
      <c r="B19" s="31"/>
      <c r="C19" s="32"/>
      <c r="D19" s="33"/>
      <c r="E19" s="34"/>
      <c r="F19" s="35"/>
      <c r="G19" s="36"/>
      <c r="H19" s="37"/>
      <c r="I19" s="38"/>
      <c r="J19" s="38"/>
      <c r="K19" s="39"/>
    </row>
    <row r="20" spans="1:11" ht="18.75" customHeight="1">
      <c r="A20" s="30"/>
      <c r="B20" s="31"/>
      <c r="C20" s="32"/>
      <c r="D20" s="33"/>
      <c r="E20" s="34"/>
      <c r="F20" s="35"/>
      <c r="G20" s="36"/>
      <c r="H20" s="37"/>
      <c r="I20" s="38"/>
      <c r="J20" s="38"/>
      <c r="K20" s="39"/>
    </row>
    <row r="21" spans="1:11" ht="18.75" customHeight="1">
      <c r="A21" s="30"/>
      <c r="B21" s="31"/>
      <c r="C21" s="32"/>
      <c r="D21" s="33"/>
      <c r="E21" s="34"/>
      <c r="F21" s="35"/>
      <c r="G21" s="36"/>
      <c r="H21" s="37"/>
      <c r="I21" s="38"/>
      <c r="J21" s="38"/>
      <c r="K21" s="39"/>
    </row>
    <row r="22" spans="1:11" ht="18.75" customHeight="1">
      <c r="A22" s="30"/>
      <c r="B22" s="31"/>
      <c r="C22" s="32"/>
      <c r="D22" s="33"/>
      <c r="E22" s="34"/>
      <c r="F22" s="35"/>
      <c r="G22" s="36"/>
      <c r="H22" s="37"/>
      <c r="I22" s="38"/>
      <c r="J22" s="38"/>
      <c r="K22" s="39"/>
    </row>
    <row r="23" spans="1:11" ht="18.75" customHeight="1">
      <c r="A23" s="30"/>
      <c r="B23" s="31"/>
      <c r="C23" s="32"/>
      <c r="D23" s="33"/>
      <c r="E23" s="34"/>
      <c r="F23" s="35"/>
      <c r="G23" s="36"/>
      <c r="H23" s="37"/>
      <c r="I23" s="38"/>
      <c r="J23" s="38"/>
      <c r="K23" s="39"/>
    </row>
    <row r="24" spans="1:11" ht="18.75" customHeight="1">
      <c r="A24" s="30"/>
      <c r="B24" s="31"/>
      <c r="C24" s="32"/>
      <c r="D24" s="33"/>
      <c r="E24" s="34"/>
      <c r="F24" s="35"/>
      <c r="G24" s="36"/>
      <c r="H24" s="37"/>
      <c r="I24" s="38"/>
      <c r="J24" s="38"/>
      <c r="K24" s="39"/>
    </row>
    <row r="25" spans="1:11" ht="18.75" customHeight="1">
      <c r="A25" s="30"/>
      <c r="B25" s="31"/>
      <c r="C25" s="32"/>
      <c r="D25" s="33"/>
      <c r="E25" s="34"/>
      <c r="F25" s="35"/>
      <c r="G25" s="36"/>
      <c r="H25" s="37"/>
      <c r="I25" s="38"/>
      <c r="J25" s="38"/>
      <c r="K25" s="39"/>
    </row>
    <row r="26" spans="1:11" ht="18.75" customHeight="1">
      <c r="A26" s="30"/>
      <c r="B26" s="31"/>
      <c r="C26" s="32"/>
      <c r="D26" s="33"/>
      <c r="E26" s="34"/>
      <c r="F26" s="35"/>
      <c r="G26" s="36"/>
      <c r="H26" s="37"/>
      <c r="I26" s="38"/>
      <c r="J26" s="38"/>
      <c r="K26" s="39"/>
    </row>
    <row r="27" spans="1:11" ht="18.75" customHeight="1">
      <c r="A27" s="30"/>
      <c r="B27" s="31"/>
      <c r="C27" s="32"/>
      <c r="D27" s="33"/>
      <c r="E27" s="34"/>
      <c r="F27" s="35"/>
      <c r="G27" s="36"/>
      <c r="H27" s="37"/>
      <c r="I27" s="38"/>
      <c r="J27" s="38"/>
      <c r="K27" s="39"/>
    </row>
    <row r="28" spans="1:11" ht="18.75" customHeight="1">
      <c r="A28" s="30"/>
      <c r="B28" s="31"/>
      <c r="C28" s="32"/>
      <c r="D28" s="33"/>
      <c r="E28" s="34"/>
      <c r="F28" s="35"/>
      <c r="G28" s="36"/>
      <c r="H28" s="37"/>
      <c r="I28" s="38"/>
      <c r="J28" s="38"/>
      <c r="K28" s="39"/>
    </row>
    <row r="29" spans="1:11" ht="18.75" customHeight="1">
      <c r="A29" s="30"/>
      <c r="B29" s="31"/>
      <c r="C29" s="32"/>
      <c r="D29" s="33"/>
      <c r="E29" s="34"/>
      <c r="F29" s="35"/>
      <c r="G29" s="36"/>
      <c r="H29" s="37"/>
      <c r="I29" s="38"/>
      <c r="J29" s="38"/>
      <c r="K29" s="39"/>
    </row>
    <row r="30" spans="1:11" ht="18.75" customHeight="1">
      <c r="A30" s="30"/>
      <c r="B30" s="31"/>
      <c r="C30" s="32"/>
      <c r="D30" s="33"/>
      <c r="E30" s="34"/>
      <c r="F30" s="35"/>
      <c r="G30" s="36"/>
      <c r="H30" s="37"/>
      <c r="I30" s="38"/>
      <c r="J30" s="38">
        <f>IF(tekst="balanse",0,IF(tekst="åpningsbalanse",0,IF(tekst="saldobalanse",0,IF(tekst="årsoppgjør",0,IF(mvakode="imva",(+debet-kredit)/(1+mva)*mva,IF(mvakode="ia/imva",(+debet-kredit)/(1+mva)*mva,0))))))</f>
        <v>0</v>
      </c>
      <c r="K30" s="39">
        <f>IF(tekst="balanse",0,IF(tekst="åpningsbalanse",0,IF(tekst="saldobalanse",0,IF(tekst="årsoppgjør",0,IF(mvakode="umva",(+debet-kredit)/(1+mva)*mva,0)))))</f>
        <v>0</v>
      </c>
    </row>
    <row r="31" spans="1:11" ht="18.75" customHeight="1">
      <c r="A31" s="30"/>
      <c r="B31" s="31"/>
      <c r="C31" s="32"/>
      <c r="D31" s="33"/>
      <c r="E31" s="34"/>
      <c r="F31" s="35"/>
      <c r="G31" s="36"/>
      <c r="H31" s="37"/>
      <c r="I31" s="38"/>
      <c r="J31" s="38">
        <f>IF(tekst="balanse",0,IF(tekst="åpningsbalanse",0,IF(tekst="saldobalanse",0,IF(tekst="årsoppgjør",0,IF(mvakode="imva",(+debet-kredit)/(1+mva)*mva,IF(mvakode="ia/imva",(+debet-kredit)/(1+mva)*mva,0))))))</f>
        <v>0</v>
      </c>
      <c r="K31" s="39">
        <f>IF(tekst="balanse",0,IF(tekst="åpningsbalanse",0,IF(tekst="saldobalanse",0,IF(tekst="årsoppgjør",0,IF(mvakode="umva",(+debet-kredit)/(1+mva)*mva,0)))))</f>
        <v>0</v>
      </c>
    </row>
    <row r="32" spans="1:11" ht="18.75" customHeight="1">
      <c r="A32" s="30"/>
      <c r="B32" s="31"/>
      <c r="C32" s="32"/>
      <c r="D32" s="33"/>
      <c r="E32" s="34"/>
      <c r="F32" s="35"/>
      <c r="G32" s="36"/>
      <c r="H32" s="37"/>
      <c r="I32" s="38"/>
      <c r="J32" s="38">
        <f>IF(tekst="balanse",0,IF(tekst="åpningsbalanse",0,IF(tekst="saldobalanse",0,IF(tekst="årsoppgjør",0,IF(mvakode="imva",(+debet-kredit)/(1+mva)*mva,IF(mvakode="ia/imva",(+debet-kredit)/(1+mva)*mva,0))))))</f>
        <v>0</v>
      </c>
      <c r="K32" s="39">
        <f>IF(tekst="balanse",0,IF(tekst="åpningsbalanse",0,IF(tekst="saldobalanse",0,IF(tekst="årsoppgjør",0,IF(mvakode="umva",(+debet-kredit)/(1+mva)*mva,0)))))</f>
        <v>0</v>
      </c>
    </row>
    <row r="33" spans="1:11" ht="18.75" customHeight="1" thickBot="1">
      <c r="A33" s="41"/>
      <c r="B33" s="42"/>
      <c r="C33" s="43"/>
      <c r="D33" s="44"/>
      <c r="E33" s="45"/>
      <c r="F33" s="46"/>
      <c r="G33" s="47"/>
      <c r="H33" s="48"/>
      <c r="I33" s="49"/>
      <c r="J33" s="49">
        <f>IF(tekst="balanse",0,IF(tekst="åpningsbalanse",0,IF(tekst="saldobalanse",0,IF(tekst="årsoppgjør",0,IF(mvakode="imva",(+debet-kredit)/(1+mva)*mva,IF(mvakode="ia/imva",(+debet-kredit)/(1+mva)*mva,0))))))</f>
        <v>0</v>
      </c>
      <c r="K33" s="50">
        <f>IF(tekst="balanse",0,IF(tekst="åpningsbalanse",0,IF(tekst="saldobalanse",0,IF(tekst="årsoppgjør",0,IF(mvakode="umva",(+debet-kredit)/(1+mva)*mva,0)))))</f>
        <v>0</v>
      </c>
    </row>
    <row r="34" spans="1:11" ht="18.75" customHeight="1">
      <c r="A34" s="51"/>
      <c r="B34" s="52"/>
      <c r="C34" s="52"/>
      <c r="D34" s="53"/>
      <c r="E34" s="54"/>
      <c r="F34" s="55"/>
      <c r="G34" s="56"/>
      <c r="H34" s="56"/>
      <c r="I34" s="57"/>
      <c r="J34" s="57"/>
      <c r="K34" s="57"/>
    </row>
    <row r="35" spans="1:11" ht="18.75" customHeight="1">
      <c r="A35" s="51"/>
      <c r="B35" s="52"/>
      <c r="C35" s="52"/>
      <c r="D35" s="53"/>
      <c r="E35" s="54"/>
      <c r="F35" s="55"/>
      <c r="G35" s="56"/>
      <c r="H35" s="56"/>
      <c r="I35" s="57"/>
      <c r="J35" s="57"/>
      <c r="K35" s="57"/>
    </row>
    <row r="36" spans="1:11" ht="18.75" customHeight="1">
      <c r="A36" s="51"/>
      <c r="B36" s="52"/>
      <c r="C36" s="52"/>
      <c r="D36" s="53"/>
      <c r="E36" s="54"/>
      <c r="F36" s="55"/>
      <c r="G36" s="56"/>
      <c r="H36" s="56"/>
      <c r="I36" s="57"/>
      <c r="J36" s="57"/>
      <c r="K36" s="57"/>
    </row>
    <row r="37" spans="1:11" ht="18.75" customHeight="1">
      <c r="A37" s="51"/>
      <c r="B37" s="52"/>
      <c r="C37" s="52"/>
      <c r="D37" s="53"/>
      <c r="E37" s="54"/>
      <c r="F37" s="55"/>
      <c r="G37" s="56"/>
      <c r="H37" s="56"/>
      <c r="I37" s="57"/>
      <c r="J37" s="57"/>
      <c r="K37" s="57"/>
    </row>
    <row r="38" spans="1:11" ht="18.75" customHeight="1">
      <c r="A38" s="51"/>
      <c r="B38" s="52"/>
      <c r="C38" s="52"/>
      <c r="D38" s="53"/>
      <c r="E38" s="54"/>
      <c r="F38" s="55"/>
      <c r="G38" s="56"/>
      <c r="H38" s="56"/>
      <c r="I38" s="57"/>
      <c r="J38" s="57"/>
      <c r="K38" s="57"/>
    </row>
    <row r="39" spans="1:11" ht="18.75" customHeight="1">
      <c r="A39" s="52"/>
      <c r="B39" s="52"/>
      <c r="C39" s="52"/>
      <c r="D39" s="53"/>
      <c r="E39" s="54"/>
      <c r="F39" s="55"/>
      <c r="G39" s="56"/>
      <c r="H39" s="56"/>
      <c r="I39" s="57"/>
      <c r="J39" s="57"/>
      <c r="K39" s="57"/>
    </row>
    <row r="40" spans="1:11" ht="18.75" customHeight="1">
      <c r="A40" s="52"/>
      <c r="B40" s="52"/>
      <c r="C40" s="52"/>
      <c r="D40" s="53"/>
      <c r="E40" s="54"/>
      <c r="F40" s="55"/>
      <c r="G40" s="56"/>
      <c r="H40" s="56"/>
      <c r="I40" s="57"/>
      <c r="J40" s="57"/>
      <c r="K40" s="57"/>
    </row>
    <row r="41" spans="1:11" ht="18.75" customHeight="1">
      <c r="A41" s="52"/>
      <c r="B41" s="52"/>
      <c r="C41" s="52"/>
      <c r="D41" s="53"/>
      <c r="E41" s="54"/>
      <c r="F41" s="55"/>
      <c r="G41" s="56"/>
      <c r="H41" s="56"/>
      <c r="I41" s="57"/>
      <c r="J41" s="57"/>
      <c r="K41" s="57"/>
    </row>
    <row r="42" spans="1:11" ht="18.75" customHeight="1">
      <c r="A42" s="52"/>
      <c r="B42" s="52"/>
      <c r="C42" s="52"/>
      <c r="D42" s="53"/>
      <c r="E42" s="54"/>
      <c r="F42" s="55"/>
      <c r="G42" s="56"/>
      <c r="H42" s="56"/>
      <c r="I42" s="57"/>
      <c r="J42" s="57"/>
      <c r="K42" s="57"/>
    </row>
    <row r="43" spans="1:11" ht="18.75" customHeight="1">
      <c r="A43" s="52"/>
      <c r="B43" s="52"/>
      <c r="C43" s="52"/>
      <c r="D43" s="53"/>
      <c r="E43" s="54"/>
      <c r="F43" s="55"/>
      <c r="G43" s="56"/>
      <c r="H43" s="56"/>
      <c r="I43" s="57"/>
      <c r="J43" s="57"/>
      <c r="K43" s="57"/>
    </row>
    <row r="44" spans="1:11" ht="18.75" customHeight="1">
      <c r="A44" s="52"/>
      <c r="B44" s="52"/>
      <c r="C44" s="52"/>
      <c r="D44" s="53"/>
      <c r="E44" s="54"/>
      <c r="F44" s="55"/>
      <c r="G44" s="56"/>
      <c r="H44" s="56"/>
      <c r="I44" s="57"/>
      <c r="J44" s="57"/>
      <c r="K44" s="57"/>
    </row>
    <row r="45" spans="1:11" ht="18.75" customHeight="1">
      <c r="A45" s="52"/>
      <c r="B45" s="52"/>
      <c r="C45" s="52"/>
      <c r="D45" s="53"/>
      <c r="E45" s="54"/>
      <c r="F45" s="55"/>
      <c r="G45" s="56"/>
      <c r="H45" s="56"/>
      <c r="I45" s="57"/>
      <c r="J45" s="57"/>
      <c r="K45" s="57"/>
    </row>
    <row r="46" spans="1:11" ht="18.75" customHeight="1">
      <c r="A46" s="52"/>
      <c r="B46" s="52"/>
      <c r="C46" s="52"/>
      <c r="D46" s="53"/>
      <c r="E46" s="54"/>
      <c r="F46" s="55"/>
      <c r="G46" s="56"/>
      <c r="H46" s="56"/>
      <c r="I46" s="56"/>
      <c r="J46" s="56"/>
      <c r="K46" s="56"/>
    </row>
    <row r="47" ht="18.75" customHeight="1"/>
  </sheetData>
  <sheetProtection sheet="1" objects="1" scenarios="1"/>
  <printOptions/>
  <pageMargins left="0.48" right="0.34" top="0.47" bottom="0.36" header="0.34" footer="0.35"/>
  <pageSetup fitToHeight="1" fitToWidth="1" horizontalDpi="300" verticalDpi="300" orientation="landscape" paperSize="9" scale="93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9"/>
  <dimension ref="A1:R48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44.28125" style="0" customWidth="1"/>
  </cols>
  <sheetData>
    <row r="1" spans="1:18" ht="33">
      <c r="A1" s="216" t="s">
        <v>203</v>
      </c>
      <c r="B1" s="217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</row>
    <row r="2" spans="1:18" ht="12.75">
      <c r="A2" s="213"/>
      <c r="B2" s="217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3" spans="1:18" ht="15">
      <c r="A3" s="215" t="s">
        <v>204</v>
      </c>
      <c r="B3" s="217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</row>
    <row r="4" spans="1:18" ht="12.75">
      <c r="A4" s="213"/>
      <c r="B4" s="217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</row>
    <row r="5" spans="1:18" ht="12.75">
      <c r="A5" s="213"/>
      <c r="B5" s="217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</row>
    <row r="6" spans="1:18" ht="12.75">
      <c r="A6" s="213"/>
      <c r="B6" s="217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</row>
    <row r="7" spans="1:18" ht="12.75">
      <c r="A7" s="213"/>
      <c r="B7" s="217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</row>
    <row r="8" spans="1:18" ht="12.75">
      <c r="A8" s="213"/>
      <c r="B8" s="217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</row>
    <row r="9" spans="1:18" ht="12.75">
      <c r="A9" s="213"/>
      <c r="B9" s="217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</row>
    <row r="10" spans="1:18" ht="12.75">
      <c r="A10" s="213"/>
      <c r="B10" s="217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</row>
    <row r="11" spans="1:18" ht="12.75">
      <c r="A11" s="213"/>
      <c r="B11" s="217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</row>
    <row r="12" spans="1:18" ht="12.75">
      <c r="A12" s="213"/>
      <c r="B12" s="217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</row>
    <row r="13" spans="1:18" ht="12.75">
      <c r="A13" s="213"/>
      <c r="B13" s="217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</row>
    <row r="14" spans="1:18" ht="12.75">
      <c r="A14" s="213"/>
      <c r="B14" s="217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</row>
    <row r="15" spans="1:18" ht="12.75">
      <c r="A15" s="213"/>
      <c r="B15" s="217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</row>
    <row r="16" spans="1:18" ht="12.75">
      <c r="A16" s="213"/>
      <c r="B16" s="217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</row>
    <row r="17" spans="1:18" ht="12.75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</row>
    <row r="18" spans="1:18" ht="12.7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</row>
    <row r="19" spans="1:18" ht="12.7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</row>
    <row r="20" spans="1:18" ht="12.7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</row>
    <row r="21" spans="1:18" ht="12.7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</row>
    <row r="22" spans="1:18" ht="12.7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</row>
    <row r="23" spans="1:18" ht="12.7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</row>
    <row r="24" spans="1:18" ht="12.75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</row>
    <row r="25" spans="1:18" ht="12.75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</row>
    <row r="26" spans="1:18" ht="12.75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</row>
    <row r="27" spans="1:18" ht="12.75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</row>
    <row r="28" spans="1:18" ht="12.75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</row>
    <row r="29" spans="1:18" ht="12.75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</row>
    <row r="30" spans="1:18" ht="12.75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</row>
    <row r="31" spans="1:18" ht="12.75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</row>
    <row r="32" spans="1:18" ht="12.75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</row>
    <row r="33" spans="1:18" ht="12.75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</row>
    <row r="34" spans="1:18" ht="12.75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</row>
    <row r="35" spans="1:18" ht="12.75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</row>
    <row r="36" spans="1:18" ht="12.75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</row>
    <row r="37" spans="1:18" ht="12.75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</row>
    <row r="38" spans="1:18" ht="12.75">
      <c r="A38" s="213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</row>
    <row r="39" spans="1:18" ht="12.75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</row>
    <row r="40" spans="1:18" ht="12.75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</row>
    <row r="41" spans="1:18" ht="12.75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</row>
    <row r="42" spans="1:18" ht="12.75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</row>
    <row r="43" spans="1:18" ht="12.75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</row>
    <row r="44" spans="1:18" ht="12.75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</row>
    <row r="45" spans="1:18" ht="12.75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</row>
    <row r="46" spans="1:18" ht="12.75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</row>
    <row r="47" spans="1:18" ht="12.75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</row>
    <row r="48" spans="1:18" ht="12.75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</row>
    <row r="49" s="214" customFormat="1" ht="12.75"/>
    <row r="50" s="214" customFormat="1" ht="12.75"/>
    <row r="51" s="214" customFormat="1" ht="12.75"/>
    <row r="52" s="214" customFormat="1" ht="12.75"/>
    <row r="53" s="214" customFormat="1" ht="12.75"/>
    <row r="54" s="214" customFormat="1" ht="12.75"/>
    <row r="55" s="214" customFormat="1" ht="12.75"/>
    <row r="56" s="214" customFormat="1" ht="12.75"/>
    <row r="57" s="214" customFormat="1" ht="12.75"/>
    <row r="58" s="214" customFormat="1" ht="12.75"/>
    <row r="59" s="214" customFormat="1" ht="12.75"/>
    <row r="60" s="214" customFormat="1" ht="12.75"/>
    <row r="61" s="214" customFormat="1" ht="12.75"/>
    <row r="62" s="214" customFormat="1" ht="12.75"/>
    <row r="63" s="214" customFormat="1" ht="12.75"/>
    <row r="64" s="214" customFormat="1" ht="12.75"/>
    <row r="65" s="214" customFormat="1" ht="12.75"/>
    <row r="66" s="214" customFormat="1" ht="12.75"/>
    <row r="67" s="214" customFormat="1" ht="12.75"/>
    <row r="68" s="214" customFormat="1" ht="12.75"/>
    <row r="69" s="214" customFormat="1" ht="12.75"/>
    <row r="70" s="214" customFormat="1" ht="12.75"/>
    <row r="71" s="214" customFormat="1" ht="12.75"/>
    <row r="72" s="214" customFormat="1" ht="12.75"/>
    <row r="73" s="214" customFormat="1" ht="12.75"/>
    <row r="74" s="214" customFormat="1" ht="12.75"/>
    <row r="75" s="214" customFormat="1" ht="12.75"/>
    <row r="76" s="214" customFormat="1" ht="12.75"/>
    <row r="77" s="214" customFormat="1" ht="12.75"/>
    <row r="78" s="214" customFormat="1" ht="12.75"/>
    <row r="79" s="214" customFormat="1" ht="12.75"/>
    <row r="80" s="214" customFormat="1" ht="12.75"/>
    <row r="81" s="214" customFormat="1" ht="12.75"/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Johs Totland</cp:lastModifiedBy>
  <cp:lastPrinted>2007-09-13T00:29:54Z</cp:lastPrinted>
  <dcterms:created xsi:type="dcterms:W3CDTF">1997-04-13T11:05:30Z</dcterms:created>
  <dcterms:modified xsi:type="dcterms:W3CDTF">2007-09-13T00:31:10Z</dcterms:modified>
  <cp:category/>
  <cp:version/>
  <cp:contentType/>
  <cp:contentStatus/>
</cp:coreProperties>
</file>